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/>
  <mc:AlternateContent xmlns:mc="http://schemas.openxmlformats.org/markup-compatibility/2006">
    <mc:Choice Requires="x15">
      <x15ac:absPath xmlns:x15ac="http://schemas.microsoft.com/office/spreadsheetml/2010/11/ac" url="H:\LBSP-1 - kategoria szczególna\!Nowe na strone\PROCEDURA WYDANIA ZEZWOLENIA\"/>
    </mc:Choice>
  </mc:AlternateContent>
  <xr:revisionPtr revIDLastSave="0" documentId="13_ncr:1_{4EF132B8-F9F9-4114-9455-5A9D1EAD3D05}" xr6:coauthVersionLast="47" xr6:coauthVersionMax="47" xr10:uidLastSave="{00000000-0000-0000-0000-000000000000}"/>
  <workbookProtection workbookAlgorithmName="SHA-512" workbookHashValue="KTweF64rxQEUAnuBBPplkumgr2/F04oZXPlSgK8ey5yYv1Gl/xybDnueWgciraK614yiVPyRxP8UUO2Kg7FVBw==" workbookSaltValue="oFFQ7BhPfcGZyY9tNXOq3g==" workbookSpinCount="100000" lockStructure="1"/>
  <bookViews>
    <workbookView xWindow="-108" yWindow="-108" windowWidth="23256" windowHeight="12456" xr2:uid="{00000000-000D-0000-FFFF-FFFF00000000}"/>
  </bookViews>
  <sheets>
    <sheet name="Kalkulator_FV_CV_GRB" sheetId="1" r:id="rId1"/>
    <sheet name="Hintergrund" sheetId="2" state="veryHidden" r:id="rId2"/>
  </sheets>
  <definedNames>
    <definedName name="Drohnentyp">Hintergrund!$D$1:$F$1</definedName>
    <definedName name="Höhenmessfehler">Hintergrund!$B$1:$B$2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F9" i="1"/>
  <c r="K12" i="1"/>
  <c r="K11" i="1"/>
  <c r="K10" i="1"/>
  <c r="K9" i="1"/>
  <c r="F5" i="1" l="1"/>
  <c r="C41" i="2"/>
  <c r="F60" i="1" l="1"/>
  <c r="C36" i="1"/>
  <c r="C26" i="1"/>
  <c r="C25" i="1"/>
  <c r="H25" i="1" s="1"/>
  <c r="L17" i="1"/>
  <c r="D25" i="1" l="1"/>
  <c r="H17" i="1"/>
  <c r="I6" i="1"/>
  <c r="H6" i="1"/>
  <c r="L25" i="1" l="1"/>
  <c r="F54" i="1"/>
  <c r="F33" i="1"/>
  <c r="F27" i="1"/>
  <c r="L35" i="1"/>
  <c r="K35" i="1"/>
  <c r="J24" i="1" l="1"/>
  <c r="J35" i="1" s="1"/>
  <c r="J43" i="1" s="1"/>
  <c r="H48" i="1" l="1"/>
  <c r="H47" i="1"/>
  <c r="F62" i="1" l="1"/>
  <c r="F63" i="1" s="1"/>
  <c r="N10" i="1" l="1"/>
  <c r="H36" i="1" l="1"/>
  <c r="H46" i="1"/>
  <c r="F65" i="1"/>
  <c r="L36" i="1" l="1"/>
  <c r="K36" i="1"/>
  <c r="F37" i="1" s="1"/>
  <c r="F39" i="1" s="1"/>
  <c r="L39" i="1" l="1"/>
  <c r="G36" i="1"/>
  <c r="L50" i="1" l="1"/>
  <c r="F50" i="1" s="1"/>
  <c r="D46" i="1"/>
  <c r="E46" i="1"/>
  <c r="D36" i="1"/>
  <c r="E36" i="1"/>
  <c r="F12" i="1"/>
  <c r="F11" i="1"/>
  <c r="F10" i="1"/>
  <c r="F56" i="1" l="1"/>
  <c r="H56" i="1" l="1"/>
  <c r="D26" i="1"/>
  <c r="L26" i="1" s="1"/>
  <c r="G25" i="1" l="1"/>
  <c r="E26" i="1"/>
  <c r="G26" i="1"/>
  <c r="E25" i="1"/>
  <c r="F28" i="1" l="1"/>
  <c r="L30" i="1" s="1"/>
  <c r="F30" i="1" s="1"/>
  <c r="F19" i="1"/>
  <c r="F18" i="1"/>
  <c r="H18" i="1" l="1"/>
  <c r="C37" i="1"/>
</calcChain>
</file>

<file path=xl/sharedStrings.xml><?xml version="1.0" encoding="utf-8"?>
<sst xmlns="http://schemas.openxmlformats.org/spreadsheetml/2006/main" count="186" uniqueCount="103">
  <si>
    <t>=</t>
  </si>
  <si>
    <t>m/s</t>
  </si>
  <si>
    <t>CD</t>
  </si>
  <si>
    <t>m</t>
  </si>
  <si>
    <t>≥</t>
  </si>
  <si>
    <t>s</t>
  </si>
  <si>
    <t>Contingency Manöver</t>
  </si>
  <si>
    <t>Drohnentyp</t>
  </si>
  <si>
    <t>Laterales</t>
  </si>
  <si>
    <t>Vertikales</t>
  </si>
  <si>
    <t>Gleitzahl</t>
  </si>
  <si>
    <r>
      <t>v</t>
    </r>
    <r>
      <rPr>
        <vertAlign val="subscript"/>
        <sz val="12"/>
        <color theme="1"/>
        <rFont val="Calibri"/>
        <family val="2"/>
        <scheme val="minor"/>
      </rPr>
      <t>Wind</t>
    </r>
  </si>
  <si>
    <r>
      <t>v</t>
    </r>
    <r>
      <rPr>
        <vertAlign val="subscript"/>
        <sz val="12"/>
        <color theme="1"/>
        <rFont val="Calibri"/>
        <family val="2"/>
        <scheme val="minor"/>
      </rPr>
      <t>Z</t>
    </r>
  </si>
  <si>
    <t>GV</t>
  </si>
  <si>
    <r>
      <t>ALOS</t>
    </r>
    <r>
      <rPr>
        <vertAlign val="subscript"/>
        <sz val="12"/>
        <color theme="1"/>
        <rFont val="Calibri"/>
        <family val="2"/>
        <scheme val="minor"/>
      </rPr>
      <t>max</t>
    </r>
  </si>
  <si>
    <r>
      <t>DLOS</t>
    </r>
    <r>
      <rPr>
        <vertAlign val="subscript"/>
        <sz val="12"/>
        <color theme="1"/>
        <rFont val="Calibri"/>
        <family val="2"/>
        <scheme val="minor"/>
      </rPr>
      <t>max</t>
    </r>
  </si>
  <si>
    <r>
      <t>VLOS</t>
    </r>
    <r>
      <rPr>
        <vertAlign val="subscript"/>
        <sz val="12"/>
        <color theme="1"/>
        <rFont val="Calibri"/>
        <family val="2"/>
        <scheme val="minor"/>
      </rPr>
      <t>max</t>
    </r>
  </si>
  <si>
    <t>e-ID:</t>
  </si>
  <si>
    <t>Terminierung für GRB</t>
  </si>
  <si>
    <t>Generalauswahl</t>
  </si>
  <si>
    <t>Kontrolliertes Zurücksteuern</t>
  </si>
  <si>
    <r>
      <t>v</t>
    </r>
    <r>
      <rPr>
        <vertAlign val="subscript"/>
        <sz val="12"/>
        <color theme="1"/>
        <rFont val="Calibri"/>
        <family val="2"/>
        <scheme val="minor"/>
      </rPr>
      <t>0</t>
    </r>
  </si>
  <si>
    <r>
      <t>t</t>
    </r>
    <r>
      <rPr>
        <vertAlign val="subscript"/>
        <sz val="12"/>
        <color theme="1"/>
        <rFont val="Calibri"/>
        <family val="2"/>
        <scheme val="minor"/>
      </rPr>
      <t>RZ</t>
    </r>
  </si>
  <si>
    <t>ft</t>
  </si>
  <si>
    <t>E</t>
  </si>
  <si>
    <r>
      <rPr>
        <i/>
        <sz val="12"/>
        <color theme="1"/>
        <rFont val="Calibri"/>
        <family val="2"/>
        <scheme val="minor"/>
      </rPr>
      <t>Volume und Ground Risk Buffer</t>
    </r>
    <r>
      <rPr>
        <sz val="12"/>
        <color theme="1"/>
        <rFont val="Calibri"/>
        <family val="2"/>
        <scheme val="minor"/>
      </rPr>
      <t xml:space="preserve"> in Revision 1.6 (</t>
    </r>
    <r>
      <rPr>
        <sz val="12"/>
        <rFont val="Calibri"/>
        <family val="2"/>
        <scheme val="minor"/>
      </rPr>
      <t>20.11.2023</t>
    </r>
    <r>
      <rPr>
        <sz val="12"/>
        <color theme="1"/>
        <rFont val="Calibri"/>
        <family val="2"/>
        <scheme val="minor"/>
      </rPr>
      <t>)</t>
    </r>
  </si>
  <si>
    <r>
      <t>H</t>
    </r>
    <r>
      <rPr>
        <vertAlign val="subscript"/>
        <sz val="12"/>
        <color theme="1"/>
        <rFont val="Calibri"/>
        <family val="2"/>
        <scheme val="minor"/>
      </rPr>
      <t>∆</t>
    </r>
  </si>
  <si>
    <r>
      <rPr>
        <sz val="12"/>
        <color theme="1"/>
        <rFont val="Calibri"/>
        <family val="2"/>
        <scheme val="minor"/>
      </rPr>
      <t>S</t>
    </r>
    <r>
      <rPr>
        <vertAlign val="subscript"/>
        <sz val="12"/>
        <color theme="1"/>
        <rFont val="Calibri"/>
        <family val="2"/>
        <scheme val="minor"/>
      </rPr>
      <t>GPS</t>
    </r>
  </si>
  <si>
    <r>
      <rPr>
        <sz val="12"/>
        <color theme="1"/>
        <rFont val="Calibri"/>
        <family val="2"/>
        <scheme val="minor"/>
      </rPr>
      <t>S</t>
    </r>
    <r>
      <rPr>
        <vertAlign val="subscript"/>
        <sz val="12"/>
        <color theme="1"/>
        <rFont val="Calibri"/>
        <family val="2"/>
        <scheme val="minor"/>
      </rPr>
      <t>Pos</t>
    </r>
  </si>
  <si>
    <r>
      <rPr>
        <sz val="12"/>
        <color theme="1"/>
        <rFont val="Calibri"/>
        <family val="2"/>
        <scheme val="minor"/>
      </rPr>
      <t>S</t>
    </r>
    <r>
      <rPr>
        <vertAlign val="subscript"/>
        <sz val="12"/>
        <color theme="1"/>
        <rFont val="Calibri"/>
        <family val="2"/>
        <scheme val="minor"/>
      </rPr>
      <t>K</t>
    </r>
  </si>
  <si>
    <r>
      <rPr>
        <sz val="12"/>
        <color theme="1"/>
        <rFont val="Calibri"/>
        <family val="2"/>
        <scheme val="minor"/>
      </rPr>
      <t>H</t>
    </r>
    <r>
      <rPr>
        <vertAlign val="subscript"/>
        <sz val="12"/>
        <color theme="1"/>
        <rFont val="Calibri"/>
        <family val="2"/>
        <scheme val="minor"/>
      </rPr>
      <t>FG</t>
    </r>
  </si>
  <si>
    <r>
      <rPr>
        <sz val="12"/>
        <color theme="1"/>
        <rFont val="Calibri"/>
        <family val="2"/>
        <scheme val="minor"/>
      </rPr>
      <t>S</t>
    </r>
    <r>
      <rPr>
        <vertAlign val="subscript"/>
        <sz val="12"/>
        <color theme="1"/>
        <rFont val="Calibri"/>
        <family val="2"/>
        <scheme val="minor"/>
      </rPr>
      <t>FG</t>
    </r>
  </si>
  <si>
    <r>
      <t>S</t>
    </r>
    <r>
      <rPr>
        <vertAlign val="subscript"/>
        <sz val="12"/>
        <color theme="1"/>
        <rFont val="Calibri"/>
        <family val="2"/>
        <scheme val="minor"/>
      </rPr>
      <t>RZ</t>
    </r>
  </si>
  <si>
    <r>
      <t>S</t>
    </r>
    <r>
      <rPr>
        <vertAlign val="subscript"/>
        <sz val="12"/>
        <color theme="1"/>
        <rFont val="Calibri"/>
        <family val="2"/>
        <scheme val="minor"/>
      </rPr>
      <t>CM</t>
    </r>
  </si>
  <si>
    <r>
      <t>S</t>
    </r>
    <r>
      <rPr>
        <vertAlign val="subscript"/>
        <sz val="12"/>
        <color theme="1"/>
        <rFont val="Calibri"/>
        <family val="2"/>
        <scheme val="minor"/>
      </rPr>
      <t>CV</t>
    </r>
  </si>
  <si>
    <r>
      <t>H</t>
    </r>
    <r>
      <rPr>
        <vertAlign val="subscript"/>
        <sz val="12"/>
        <color theme="1"/>
        <rFont val="Calibri"/>
        <family val="2"/>
        <scheme val="minor"/>
      </rPr>
      <t>RZ</t>
    </r>
  </si>
  <si>
    <r>
      <t>H</t>
    </r>
    <r>
      <rPr>
        <vertAlign val="subscript"/>
        <sz val="12"/>
        <color theme="1"/>
        <rFont val="Calibri"/>
        <family val="2"/>
        <scheme val="minor"/>
      </rPr>
      <t>CM</t>
    </r>
  </si>
  <si>
    <r>
      <t>H</t>
    </r>
    <r>
      <rPr>
        <vertAlign val="subscript"/>
        <sz val="12"/>
        <color theme="1"/>
        <rFont val="Calibri"/>
        <family val="2"/>
        <scheme val="minor"/>
      </rPr>
      <t>CV</t>
    </r>
  </si>
  <si>
    <r>
      <t>S</t>
    </r>
    <r>
      <rPr>
        <vertAlign val="subscript"/>
        <sz val="12"/>
        <color theme="1"/>
        <rFont val="Calibri"/>
        <family val="2"/>
        <scheme val="minor"/>
      </rPr>
      <t>GRB</t>
    </r>
  </si>
  <si>
    <r>
      <t>S</t>
    </r>
    <r>
      <rPr>
        <vertAlign val="subscript"/>
        <sz val="12"/>
        <color theme="1"/>
        <rFont val="Calibri"/>
        <family val="2"/>
        <scheme val="minor"/>
      </rPr>
      <t>AV</t>
    </r>
  </si>
  <si>
    <r>
      <t>H</t>
    </r>
    <r>
      <rPr>
        <vertAlign val="subscript"/>
        <sz val="12"/>
        <color theme="1"/>
        <rFont val="Calibri"/>
        <family val="2"/>
        <scheme val="minor"/>
      </rPr>
      <t>AV</t>
    </r>
  </si>
  <si>
    <t xml:space="preserve"> 1.8</t>
  </si>
  <si>
    <t>Rodzaj BSP</t>
  </si>
  <si>
    <t>Wielowirnikowiec</t>
  </si>
  <si>
    <t>Śmigłowiec</t>
  </si>
  <si>
    <t>Stałopłat</t>
  </si>
  <si>
    <t>Błąd pomiaru wysokości</t>
  </si>
  <si>
    <t>barometryczny</t>
  </si>
  <si>
    <t>oparty na GPS</t>
  </si>
  <si>
    <t>Manewr awaryjny:</t>
  </si>
  <si>
    <t>Zamiana energii kinetycznej na potencjalną</t>
  </si>
  <si>
    <t>Podejście balistyczne</t>
  </si>
  <si>
    <t>Otwarcie spadochronu</t>
  </si>
  <si>
    <t>Zatrzymanie</t>
  </si>
  <si>
    <t>Zakończenie lotu z otwarciem spadochronu</t>
  </si>
  <si>
    <t>Zasada 1:1</t>
  </si>
  <si>
    <t>Narzędzie do obliczenia przestrzeni lotu, przestrzeni bezpieczeństwa i bufora ryzyka naziemnego</t>
  </si>
  <si>
    <t>Informacje dotyczące eksploatowanego BSP</t>
  </si>
  <si>
    <t>Maksymalna prędkość do operacji</t>
  </si>
  <si>
    <t>Maksylamy wymiar typowy BSP</t>
  </si>
  <si>
    <t>GPS – Niedokładność</t>
  </si>
  <si>
    <t>Błąd utrzymywania pozycji</t>
  </si>
  <si>
    <t>Błąd mapy</t>
  </si>
  <si>
    <t>Czas reakcji pilota BSP / systemu automatycznego</t>
  </si>
  <si>
    <t>Własna wartość:</t>
  </si>
  <si>
    <t>Wysokość przestrzeni lotu</t>
  </si>
  <si>
    <r>
      <rPr>
        <u/>
        <sz val="12"/>
        <color theme="1"/>
        <rFont val="Calibri"/>
        <family val="2"/>
        <scheme val="minor"/>
      </rPr>
      <t>Minimalna</t>
    </r>
    <r>
      <rPr>
        <sz val="12"/>
        <color theme="1"/>
        <rFont val="Calibri"/>
        <family val="2"/>
        <charset val="238"/>
        <scheme val="minor"/>
      </rPr>
      <t xml:space="preserve"> wysokość dla małej FG</t>
    </r>
  </si>
  <si>
    <r>
      <rPr>
        <u/>
        <sz val="12"/>
        <color theme="1"/>
        <rFont val="Calibri"/>
        <family val="2"/>
        <scheme val="minor"/>
      </rPr>
      <t>Minimalna</t>
    </r>
    <r>
      <rPr>
        <sz val="12"/>
        <color theme="1"/>
        <rFont val="Calibri"/>
        <family val="2"/>
        <charset val="238"/>
        <scheme val="minor"/>
      </rPr>
      <t xml:space="preserve"> szerokość dla małej FG</t>
    </r>
  </si>
  <si>
    <t>Manewr bezpieczeństwa:</t>
  </si>
  <si>
    <t>8.2 Obliczenie przestrzeni bezpieczeństwa (CV)</t>
  </si>
  <si>
    <t>Pozioma przestrzeń bezpieczeństwa</t>
  </si>
  <si>
    <t>Zasięg reakcji</t>
  </si>
  <si>
    <t>Manewr bezpieczeństwa</t>
  </si>
  <si>
    <t>m   (Wskazówka: Dodaj odpowiedni wymiar przestrzeni bezpieczeństwa w pliku kml)</t>
  </si>
  <si>
    <t xml:space="preserve">Pionowa przestrzeń bezpieczeństwa </t>
  </si>
  <si>
    <t>Czas otwarcia spadochronu</t>
  </si>
  <si>
    <r>
      <rPr>
        <b/>
        <sz val="12"/>
        <color theme="1"/>
        <rFont val="Calibri"/>
        <family val="2"/>
        <scheme val="minor"/>
      </rPr>
      <t>Minimalna</t>
    </r>
    <r>
      <rPr>
        <sz val="12"/>
        <color theme="1"/>
        <rFont val="Calibri"/>
        <family val="2"/>
        <charset val="238"/>
        <scheme val="minor"/>
      </rPr>
      <t xml:space="preserve"> pionowa przestrzeń bezpieczeństwa</t>
    </r>
  </si>
  <si>
    <t>8.3 Obliczenie bufora ryzyka naziemnego (GRB)</t>
  </si>
  <si>
    <t>Metoda zakończenia lotu:</t>
  </si>
  <si>
    <t>Maksymalna dopuszczalna prędkość wiatru</t>
  </si>
  <si>
    <t>Prędkość opadania z otwartym spadochronem</t>
  </si>
  <si>
    <t>8.4 Obliczanie przestrzeni przyległej</t>
  </si>
  <si>
    <t>Pozioma przestrzeń przyległa (dotyczy również obszaru przyległego)</t>
  </si>
  <si>
    <t>Pionowa przestrzeń przyległa</t>
  </si>
  <si>
    <t>9 Obliczenie granicy VLOS/BVLOS</t>
  </si>
  <si>
    <t>Pole widzenia (Attitude Line of Sight)</t>
  </si>
  <si>
    <r>
      <t>Widoczność naziemna (Ground Visibility) (</t>
    </r>
    <r>
      <rPr>
        <b/>
        <sz val="12"/>
        <color theme="1"/>
        <rFont val="Calibri"/>
        <family val="2"/>
        <scheme val="minor"/>
      </rPr>
      <t>GV</t>
    </r>
    <r>
      <rPr>
        <b/>
        <vertAlign val="subscript"/>
        <sz val="12"/>
        <color theme="1"/>
        <rFont val="Calibri"/>
        <family val="2"/>
        <scheme val="minor"/>
      </rPr>
      <t>max</t>
    </r>
    <r>
      <rPr>
        <b/>
        <sz val="12"/>
        <color theme="1"/>
        <rFont val="Calibri"/>
        <family val="2"/>
        <scheme val="minor"/>
      </rPr>
      <t xml:space="preserve"> = 5000 m</t>
    </r>
    <r>
      <rPr>
        <sz val="12"/>
        <color theme="1"/>
        <rFont val="Calibri"/>
        <family val="2"/>
        <scheme val="minor"/>
      </rPr>
      <t>)</t>
    </r>
  </si>
  <si>
    <t>Wykrywanie (Detection Line of Sight)</t>
  </si>
  <si>
    <t>Granica VLOS</t>
  </si>
  <si>
    <t>Wersja:</t>
  </si>
  <si>
    <t>Na podstawie obliczeń zawartych w dokumencie pt. "Dimensioning Guide to Flight Geography, Contingency"</t>
  </si>
  <si>
    <t>Informacje o wnioskującym:</t>
  </si>
  <si>
    <t>Nazwa:</t>
  </si>
  <si>
    <t>Data:</t>
  </si>
  <si>
    <t>Przykład prezentacji przestrzeni lotu, przestrzeni bezpieczeństwa, bufora ryzyka naziemnego oraz przestrzeni przyległej</t>
  </si>
  <si>
    <r>
      <rPr>
        <b/>
        <sz val="12"/>
        <color theme="1"/>
        <rFont val="Calibri"/>
        <family val="2"/>
        <scheme val="minor"/>
      </rPr>
      <t>Minimalna</t>
    </r>
    <r>
      <rPr>
        <sz val="12"/>
        <color theme="1"/>
        <rFont val="Calibri"/>
        <family val="2"/>
        <charset val="238"/>
        <scheme val="minor"/>
      </rPr>
      <t xml:space="preserve"> odległość bufora ryzyka naziemnego</t>
    </r>
  </si>
  <si>
    <t>m   (Wskazówka: Dodaj odpowiednią odległość bufora ryzyka naziemnego w pliku kml)</t>
  </si>
  <si>
    <r>
      <rPr>
        <b/>
        <sz val="12"/>
        <color theme="1"/>
        <rFont val="Calibri"/>
        <family val="2"/>
        <scheme val="minor"/>
      </rPr>
      <t>Minimalna</t>
    </r>
    <r>
      <rPr>
        <sz val="12"/>
        <color theme="1"/>
        <rFont val="Calibri"/>
        <family val="2"/>
        <charset val="238"/>
        <scheme val="minor"/>
      </rPr>
      <t xml:space="preserve"> pozioma przestrzeń bezpieczeństwa</t>
    </r>
  </si>
  <si>
    <t>8.1 Minimalna wysokość przestrzeni lotu (FG)</t>
  </si>
  <si>
    <t>45° 
Kąt zejścia ze ścieżki po okręgu do lotu poziomego</t>
  </si>
  <si>
    <t>Napęd jest wyłączany podczas lotu szybującego</t>
  </si>
  <si>
    <t>Napęd jest wyłączony bez szybowania</t>
  </si>
  <si>
    <t>Manewr nawrotu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</si>
</sst>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A7D00"/>
      <name val="Calibri"/>
      <family val="2"/>
      <scheme val="minor"/>
    </font>
    <font>
      <sz val="12"/>
      <color theme="7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9999"/>
      <name val="Calibri"/>
      <family val="2"/>
      <scheme val="minor"/>
    </font>
    <font>
      <sz val="12"/>
      <color theme="7" tint="0.79998168889431442"/>
      <name val="Calibri"/>
      <family val="2"/>
      <scheme val="minor"/>
    </font>
    <font>
      <sz val="12"/>
      <color rgb="FFFFF2CC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color theme="9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5" fillId="3" borderId="1" applyNumberFormat="0" applyAlignment="0" applyProtection="0"/>
    <xf numFmtId="0" fontId="2" fillId="4" borderId="3" applyNumberFormat="0" applyFont="0" applyAlignment="0" applyProtection="0"/>
  </cellStyleXfs>
  <cellXfs count="78">
    <xf numFmtId="0" fontId="0" fillId="0" borderId="0" xfId="0"/>
    <xf numFmtId="0" fontId="7" fillId="4" borderId="3" xfId="4" applyFont="1"/>
    <xf numFmtId="0" fontId="7" fillId="10" borderId="0" xfId="0" applyFont="1" applyFill="1"/>
    <xf numFmtId="0" fontId="7" fillId="11" borderId="0" xfId="0" applyFont="1" applyFill="1"/>
    <xf numFmtId="0" fontId="10" fillId="11" borderId="0" xfId="0" applyFont="1" applyFill="1"/>
    <xf numFmtId="0" fontId="11" fillId="11" borderId="0" xfId="0" applyFont="1" applyFill="1"/>
    <xf numFmtId="0" fontId="12" fillId="11" borderId="1" xfId="3" applyFont="1" applyFill="1"/>
    <xf numFmtId="0" fontId="7" fillId="6" borderId="0" xfId="0" applyFont="1" applyFill="1"/>
    <xf numFmtId="0" fontId="7" fillId="7" borderId="0" xfId="0" applyFont="1" applyFill="1"/>
    <xf numFmtId="0" fontId="13" fillId="6" borderId="0" xfId="0" applyFont="1" applyFill="1"/>
    <xf numFmtId="0" fontId="7" fillId="8" borderId="0" xfId="0" applyFont="1" applyFill="1"/>
    <xf numFmtId="0" fontId="7" fillId="9" borderId="0" xfId="0" applyFont="1" applyFill="1"/>
    <xf numFmtId="0" fontId="10" fillId="9" borderId="0" xfId="0" applyFont="1" applyFill="1"/>
    <xf numFmtId="0" fontId="6" fillId="5" borderId="0" xfId="0" applyFont="1" applyFill="1"/>
    <xf numFmtId="0" fontId="1" fillId="5" borderId="0" xfId="0" applyFont="1" applyFill="1"/>
    <xf numFmtId="0" fontId="0" fillId="5" borderId="0" xfId="0" applyFill="1"/>
    <xf numFmtId="0" fontId="7" fillId="5" borderId="0" xfId="0" applyFont="1" applyFill="1"/>
    <xf numFmtId="0" fontId="16" fillId="5" borderId="0" xfId="0" applyFont="1" applyFill="1"/>
    <xf numFmtId="0" fontId="16" fillId="10" borderId="0" xfId="0" applyFont="1" applyFill="1"/>
    <xf numFmtId="0" fontId="16" fillId="6" borderId="0" xfId="0" applyFont="1" applyFill="1"/>
    <xf numFmtId="0" fontId="16" fillId="7" borderId="0" xfId="0" applyFont="1" applyFill="1"/>
    <xf numFmtId="0" fontId="16" fillId="8" borderId="0" xfId="0" applyFont="1" applyFill="1"/>
    <xf numFmtId="0" fontId="0" fillId="12" borderId="0" xfId="0" applyFill="1"/>
    <xf numFmtId="0" fontId="7" fillId="12" borderId="0" xfId="0" applyFont="1" applyFill="1"/>
    <xf numFmtId="0" fontId="16" fillId="13" borderId="0" xfId="0" applyFont="1" applyFill="1"/>
    <xf numFmtId="0" fontId="0" fillId="13" borderId="0" xfId="0" applyFill="1"/>
    <xf numFmtId="0" fontId="7" fillId="12" borderId="4" xfId="0" applyFont="1" applyFill="1" applyBorder="1"/>
    <xf numFmtId="0" fontId="3" fillId="2" borderId="1" xfId="1" applyProtection="1">
      <protection locked="0"/>
    </xf>
    <xf numFmtId="49" fontId="3" fillId="2" borderId="1" xfId="1" applyNumberFormat="1" applyProtection="1">
      <protection locked="0"/>
    </xf>
    <xf numFmtId="0" fontId="9" fillId="2" borderId="1" xfId="1" applyFont="1" applyProtection="1">
      <protection locked="0"/>
    </xf>
    <xf numFmtId="0" fontId="7" fillId="7" borderId="0" xfId="0" applyFont="1" applyFill="1" applyBorder="1" applyProtection="1">
      <protection locked="0"/>
    </xf>
    <xf numFmtId="0" fontId="7" fillId="7" borderId="0" xfId="0" applyFont="1" applyFill="1" applyProtection="1">
      <protection locked="0"/>
    </xf>
    <xf numFmtId="0" fontId="9" fillId="2" borderId="0" xfId="1" applyFont="1" applyBorder="1" applyProtection="1">
      <protection locked="0"/>
    </xf>
    <xf numFmtId="0" fontId="7" fillId="4" borderId="5" xfId="4" applyFont="1" applyBorder="1"/>
    <xf numFmtId="0" fontId="7" fillId="12" borderId="0" xfId="0" applyFont="1" applyFill="1" applyBorder="1"/>
    <xf numFmtId="0" fontId="18" fillId="5" borderId="0" xfId="0" applyFont="1" applyFill="1"/>
    <xf numFmtId="0" fontId="7" fillId="5" borderId="0" xfId="0" applyFont="1" applyFill="1" applyBorder="1"/>
    <xf numFmtId="0" fontId="0" fillId="5" borderId="0" xfId="0" applyFill="1" applyBorder="1"/>
    <xf numFmtId="14" fontId="3" fillId="2" borderId="1" xfId="1" applyNumberFormat="1" applyProtection="1">
      <protection locked="0"/>
    </xf>
    <xf numFmtId="0" fontId="19" fillId="11" borderId="0" xfId="0" applyFont="1" applyFill="1"/>
    <xf numFmtId="0" fontId="8" fillId="11" borderId="0" xfId="0" applyFont="1" applyFill="1"/>
    <xf numFmtId="0" fontId="19" fillId="7" borderId="0" xfId="0" applyFont="1" applyFill="1"/>
    <xf numFmtId="0" fontId="20" fillId="5" borderId="0" xfId="0" applyFont="1" applyFill="1"/>
    <xf numFmtId="164" fontId="14" fillId="7" borderId="2" xfId="2" applyNumberFormat="1" applyFont="1" applyFill="1"/>
    <xf numFmtId="164" fontId="7" fillId="7" borderId="0" xfId="0" applyNumberFormat="1" applyFont="1" applyFill="1"/>
    <xf numFmtId="0" fontId="10" fillId="5" borderId="0" xfId="0" applyFont="1" applyFill="1" applyAlignment="1">
      <alignment horizontal="left"/>
    </xf>
    <xf numFmtId="14" fontId="7" fillId="5" borderId="0" xfId="0" applyNumberFormat="1" applyFont="1" applyFill="1" applyBorder="1"/>
    <xf numFmtId="164" fontId="7" fillId="12" borderId="4" xfId="0" applyNumberFormat="1" applyFont="1" applyFill="1" applyBorder="1"/>
    <xf numFmtId="16" fontId="7" fillId="5" borderId="0" xfId="0" applyNumberFormat="1" applyFont="1" applyFill="1"/>
    <xf numFmtId="0" fontId="10" fillId="5" borderId="0" xfId="0" applyFont="1" applyFill="1" applyAlignment="1">
      <alignment horizontal="right"/>
    </xf>
    <xf numFmtId="0" fontId="19" fillId="9" borderId="0" xfId="0" applyFont="1" applyFill="1"/>
    <xf numFmtId="0" fontId="23" fillId="9" borderId="0" xfId="0" applyFont="1" applyFill="1"/>
    <xf numFmtId="0" fontId="9" fillId="14" borderId="0" xfId="1" applyFont="1" applyFill="1" applyBorder="1" applyProtection="1">
      <protection locked="0"/>
    </xf>
    <xf numFmtId="164" fontId="7" fillId="4" borderId="3" xfId="4" applyNumberFormat="1" applyFont="1"/>
    <xf numFmtId="0" fontId="24" fillId="9" borderId="0" xfId="0" applyFont="1" applyFill="1"/>
    <xf numFmtId="0" fontId="25" fillId="7" borderId="0" xfId="0" applyFont="1" applyFill="1"/>
    <xf numFmtId="0" fontId="26" fillId="7" borderId="0" xfId="0" applyFont="1" applyFill="1"/>
    <xf numFmtId="0" fontId="11" fillId="7" borderId="0" xfId="0" applyFont="1" applyFill="1"/>
    <xf numFmtId="0" fontId="8" fillId="5" borderId="0" xfId="0" applyFont="1" applyFill="1"/>
    <xf numFmtId="0" fontId="16" fillId="15" borderId="0" xfId="0" applyFont="1" applyFill="1"/>
    <xf numFmtId="0" fontId="7" fillId="15" borderId="0" xfId="0" applyFont="1" applyFill="1"/>
    <xf numFmtId="0" fontId="7" fillId="16" borderId="0" xfId="0" applyFont="1" applyFill="1"/>
    <xf numFmtId="1" fontId="14" fillId="16" borderId="2" xfId="2" applyNumberFormat="1" applyFont="1" applyFill="1"/>
    <xf numFmtId="164" fontId="14" fillId="16" borderId="2" xfId="2" applyNumberFormat="1" applyFont="1" applyFill="1"/>
    <xf numFmtId="164" fontId="15" fillId="9" borderId="2" xfId="2" applyNumberFormat="1" applyFont="1" applyFill="1"/>
    <xf numFmtId="164" fontId="13" fillId="6" borderId="0" xfId="0" applyNumberFormat="1" applyFont="1" applyFill="1"/>
    <xf numFmtId="164" fontId="19" fillId="8" borderId="0" xfId="0" applyNumberFormat="1" applyFont="1" applyFill="1"/>
    <xf numFmtId="0" fontId="27" fillId="5" borderId="0" xfId="0" applyFont="1" applyFill="1"/>
    <xf numFmtId="0" fontId="28" fillId="10" borderId="0" xfId="0" applyFont="1" applyFill="1"/>
    <xf numFmtId="0" fontId="7" fillId="14" borderId="0" xfId="0" applyFont="1" applyFill="1" applyProtection="1">
      <protection locked="0"/>
    </xf>
    <xf numFmtId="0" fontId="30" fillId="5" borderId="0" xfId="0" applyFont="1" applyFill="1"/>
    <xf numFmtId="0" fontId="0" fillId="0" borderId="0" xfId="0" applyAlignment="1">
      <alignment wrapText="1"/>
    </xf>
    <xf numFmtId="0" fontId="9" fillId="2" borderId="1" xfId="1" applyFont="1" applyAlignment="1" applyProtection="1">
      <alignment horizontal="center"/>
      <protection locked="0"/>
    </xf>
    <xf numFmtId="0" fontId="3" fillId="2" borderId="6" xfId="1" applyBorder="1" applyAlignment="1" applyProtection="1">
      <alignment horizontal="center"/>
      <protection locked="0"/>
    </xf>
    <xf numFmtId="0" fontId="3" fillId="2" borderId="7" xfId="1" applyBorder="1" applyAlignment="1" applyProtection="1">
      <alignment horizontal="center"/>
      <protection locked="0"/>
    </xf>
    <xf numFmtId="0" fontId="3" fillId="2" borderId="8" xfId="1" applyBorder="1" applyAlignment="1" applyProtection="1">
      <alignment horizontal="center"/>
      <protection locked="0"/>
    </xf>
    <xf numFmtId="0" fontId="3" fillId="2" borderId="1" xfId="1" applyAlignment="1" applyProtection="1">
      <alignment horizontal="center"/>
      <protection locked="0"/>
    </xf>
    <xf numFmtId="0" fontId="3" fillId="14" borderId="1" xfId="1" applyFill="1" applyAlignment="1" applyProtection="1">
      <alignment horizontal="center"/>
      <protection locked="0"/>
    </xf>
  </cellXfs>
  <cellStyles count="5">
    <cellStyle name="Dane wejściowe" xfId="1" builtinId="20"/>
    <cellStyle name="Dane wyjściowe" xfId="2" builtinId="21"/>
    <cellStyle name="Normalny" xfId="0" builtinId="0"/>
    <cellStyle name="Obliczenia" xfId="3" builtinId="22"/>
    <cellStyle name="Uwaga" xfId="4" builtinId="10"/>
  </cellStyles>
  <dxfs count="21">
    <dxf>
      <font>
        <color rgb="FFFF9999"/>
      </font>
      <fill>
        <patternFill>
          <bgColor rgb="FFFF9999"/>
        </patternFill>
      </fill>
      <border>
        <left/>
        <right/>
        <top/>
        <bottom/>
        <vertical/>
        <horizontal/>
      </border>
    </dxf>
    <dxf>
      <font>
        <color rgb="FFFF9999"/>
      </font>
      <fill>
        <patternFill>
          <bgColor rgb="FFFF9999"/>
        </patternFill>
      </fill>
    </dxf>
    <dxf>
      <font>
        <color rgb="FFFF9999"/>
      </font>
    </dxf>
    <dxf>
      <font>
        <color rgb="FFFF9999"/>
      </font>
    </dxf>
    <dxf>
      <font>
        <color rgb="FF3F3F76"/>
      </font>
      <fill>
        <patternFill>
          <bgColor rgb="FFFFCC99"/>
        </patternFill>
      </fill>
      <border>
        <left/>
        <right/>
        <top style="thin">
          <color rgb="FF7F7F7F"/>
        </top>
        <bottom/>
      </border>
    </dxf>
    <dxf>
      <font>
        <color theme="7" tint="0.79998168889431442"/>
      </font>
      <border>
        <left/>
        <right/>
        <top style="thin">
          <color rgb="FF7F7F7F"/>
        </top>
        <bottom/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9999"/>
      </font>
      <fill>
        <patternFill>
          <bgColor rgb="FFFF9999"/>
        </patternFill>
      </fill>
      <border>
        <left/>
        <right/>
        <top/>
        <bottom/>
        <vertical/>
        <horizontal/>
      </border>
    </dxf>
    <dxf>
      <font>
        <color rgb="FFFF9999"/>
      </font>
      <fill>
        <patternFill>
          <bgColor rgb="FFFF9999"/>
        </patternFill>
      </fill>
      <border>
        <left/>
        <right/>
        <top/>
        <bottom/>
      </border>
    </dxf>
    <dxf>
      <font>
        <color rgb="FFFF9999"/>
      </font>
      <fill>
        <patternFill>
          <bgColor rgb="FFFF9999"/>
        </patternFill>
      </fill>
    </dxf>
    <dxf>
      <font>
        <color rgb="FFFF9999"/>
      </font>
      <fill>
        <patternFill>
          <bgColor rgb="FFFF9999"/>
        </patternFill>
      </fill>
    </dxf>
    <dxf>
      <font>
        <color rgb="FFFF9999"/>
      </font>
      <fill>
        <patternFill>
          <bgColor rgb="FFFF9999"/>
        </patternFill>
      </fill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theme="0"/>
      </font>
    </dxf>
    <dxf>
      <font>
        <color theme="7" tint="0.79998168889431442"/>
      </font>
      <border>
        <left/>
        <right/>
        <top/>
        <bottom/>
        <vertical/>
        <horizontal/>
      </border>
    </dxf>
    <dxf>
      <font>
        <color rgb="FF3F3F76"/>
      </font>
      <fill>
        <patternFill>
          <bgColor rgb="FFFFCC99"/>
        </patternFill>
      </fill>
      <border>
        <left/>
        <right/>
        <top/>
        <bottom/>
        <vertical/>
        <horizontal/>
      </border>
    </dxf>
    <dxf>
      <font>
        <color rgb="FF3F3F76"/>
      </font>
      <fill>
        <patternFill>
          <bgColor rgb="FFFFCC99"/>
        </patternFill>
      </fill>
      <border>
        <left/>
        <right/>
        <top style="thin">
          <color rgb="FF7F7F7F"/>
        </top>
        <bottom/>
      </border>
    </dxf>
    <dxf>
      <font>
        <color theme="7" tint="0.79998168889431442"/>
      </font>
      <border>
        <left/>
        <right/>
        <top style="thin">
          <color rgb="FF7F7F7F"/>
        </top>
        <bottom/>
        <vertical/>
        <horizontal/>
      </border>
    </dxf>
  </dxfs>
  <tableStyles count="0" defaultTableStyle="TableStyleMedium2" defaultPivotStyle="PivotStyleLight16"/>
  <colors>
    <mruColors>
      <color rgb="FFFFCC99"/>
      <color rgb="FFFFF2CC"/>
      <color rgb="FFFF9999"/>
      <color rgb="FFFF99CC"/>
      <color rgb="FF7F7F7F"/>
      <color rgb="FFFFCCFF"/>
      <color rgb="FF3F3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</xdr:row>
      <xdr:rowOff>20682</xdr:rowOff>
    </xdr:from>
    <xdr:to>
      <xdr:col>20</xdr:col>
      <xdr:colOff>1790699</xdr:colOff>
      <xdr:row>67</xdr:row>
      <xdr:rowOff>159539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5533FCB-F953-4F92-97F1-FD2F4DC0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54025" y="2630532"/>
          <a:ext cx="8077199" cy="11645057"/>
        </a:xfrm>
        <a:prstGeom prst="rect">
          <a:avLst/>
        </a:prstGeom>
      </xdr:spPr>
    </xdr:pic>
    <xdr:clientData/>
  </xdr:twoCellAnchor>
  <xdr:twoCellAnchor>
    <xdr:from>
      <xdr:col>19</xdr:col>
      <xdr:colOff>168044</xdr:colOff>
      <xdr:row>36</xdr:row>
      <xdr:rowOff>98249</xdr:rowOff>
    </xdr:from>
    <xdr:to>
      <xdr:col>20</xdr:col>
      <xdr:colOff>143435</xdr:colOff>
      <xdr:row>37</xdr:row>
      <xdr:rowOff>143435</xdr:rowOff>
    </xdr:to>
    <xdr:sp macro="" textlink="$F$50">
      <xdr:nvSpPr>
        <xdr:cNvPr id="5" name="Textfeld 4" title="Lateraler Ground Risk Buff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904279" y="7736178"/>
          <a:ext cx="764285" cy="278269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99675F8C-217F-4509-9981-39A5D0E77A63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 </a:t>
          </a:fld>
          <a:endParaRPr lang="de-DE" sz="1100"/>
        </a:p>
      </xdr:txBody>
    </xdr:sp>
    <xdr:clientData/>
  </xdr:twoCellAnchor>
  <xdr:twoCellAnchor>
    <xdr:from>
      <xdr:col>20</xdr:col>
      <xdr:colOff>132868</xdr:colOff>
      <xdr:row>36</xdr:row>
      <xdr:rowOff>94733</xdr:rowOff>
    </xdr:from>
    <xdr:to>
      <xdr:col>20</xdr:col>
      <xdr:colOff>406553</xdr:colOff>
      <xdr:row>37</xdr:row>
      <xdr:rowOff>144648</xdr:rowOff>
    </xdr:to>
    <xdr:sp macro="" textlink="">
      <xdr:nvSpPr>
        <xdr:cNvPr id="6" name="Textfeld 5" title="Met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657997" y="7732662"/>
          <a:ext cx="273685" cy="282998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t>m</a:t>
          </a:r>
        </a:p>
      </xdr:txBody>
    </xdr:sp>
    <xdr:clientData/>
  </xdr:twoCellAnchor>
  <xdr:twoCellAnchor>
    <xdr:from>
      <xdr:col>15</xdr:col>
      <xdr:colOff>322094</xdr:colOff>
      <xdr:row>18</xdr:row>
      <xdr:rowOff>35859</xdr:rowOff>
    </xdr:from>
    <xdr:to>
      <xdr:col>15</xdr:col>
      <xdr:colOff>628933</xdr:colOff>
      <xdr:row>21</xdr:row>
      <xdr:rowOff>73997</xdr:rowOff>
    </xdr:to>
    <xdr:sp macro="" textlink="$F$39">
      <xdr:nvSpPr>
        <xdr:cNvPr id="8" name="Textfeld 7" title="Vertikales Contingency Volum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rot="16200000">
          <a:off x="15696445" y="4123885"/>
          <a:ext cx="665667" cy="306839"/>
        </a:xfrm>
        <a:prstGeom prst="rect">
          <a:avLst/>
        </a:prstGeom>
        <a:solidFill>
          <a:srgbClr val="FFCC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E3E5197D-198D-44A2-B792-6658D4A013F4}" type="TxLink">
            <a:rPr lang="en-US" sz="1200" b="1" i="0" u="none" strike="noStrike">
              <a:solidFill>
                <a:srgbClr val="ED7D31"/>
              </a:solidFill>
              <a:latin typeface="Calibri"/>
              <a:cs typeface="Calibri"/>
            </a:rPr>
            <a:pPr algn="r"/>
            <a:t>#ARG!</a:t>
          </a:fld>
          <a:endParaRPr lang="de-DE" sz="1100"/>
        </a:p>
      </xdr:txBody>
    </xdr:sp>
    <xdr:clientData/>
  </xdr:twoCellAnchor>
  <xdr:twoCellAnchor>
    <xdr:from>
      <xdr:col>18</xdr:col>
      <xdr:colOff>161911</xdr:colOff>
      <xdr:row>18</xdr:row>
      <xdr:rowOff>136307</xdr:rowOff>
    </xdr:from>
    <xdr:to>
      <xdr:col>18</xdr:col>
      <xdr:colOff>397567</xdr:colOff>
      <xdr:row>21</xdr:row>
      <xdr:rowOff>120730</xdr:rowOff>
    </xdr:to>
    <xdr:sp macro="" textlink="$F$17">
      <xdr:nvSpPr>
        <xdr:cNvPr id="9" name="Textfeld 8" title="Höhe Flight Geography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rot="16200000">
          <a:off x="17863223" y="4234821"/>
          <a:ext cx="613902" cy="23565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006558BA-7531-4E3E-9F31-F62B11CF9041}" type="TxLink">
            <a:rPr lang="en-US" sz="1200" b="0" i="0" u="none" strike="noStrike">
              <a:solidFill>
                <a:srgbClr val="3F3F76"/>
              </a:solidFill>
              <a:latin typeface="Calibri"/>
              <a:cs typeface="Calibri"/>
            </a:rPr>
            <a:pPr algn="r"/>
            <a:t> </a:t>
          </a:fld>
          <a:endParaRPr lang="de-DE" sz="1100"/>
        </a:p>
      </xdr:txBody>
    </xdr:sp>
    <xdr:clientData/>
  </xdr:twoCellAnchor>
  <xdr:twoCellAnchor>
    <xdr:from>
      <xdr:col>19</xdr:col>
      <xdr:colOff>230407</xdr:colOff>
      <xdr:row>40</xdr:row>
      <xdr:rowOff>62415</xdr:rowOff>
    </xdr:from>
    <xdr:to>
      <xdr:col>20</xdr:col>
      <xdr:colOff>206189</xdr:colOff>
      <xdr:row>41</xdr:row>
      <xdr:rowOff>157681</xdr:rowOff>
    </xdr:to>
    <xdr:sp macro="" textlink="$F$30">
      <xdr:nvSpPr>
        <xdr:cNvPr id="10" name="Textfeld 9" title="Laterales Contingency Volum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966642" y="8560956"/>
          <a:ext cx="764676" cy="292490"/>
        </a:xfrm>
        <a:prstGeom prst="rect">
          <a:avLst/>
        </a:prstGeom>
        <a:solidFill>
          <a:srgbClr val="FFCC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42C109A8-A7D7-4470-9BDF-7E4721F02A6D}" type="TxLink">
            <a:rPr lang="en-US" sz="1200" b="1" i="0" u="none" strike="noStrike">
              <a:solidFill>
                <a:srgbClr val="ED7D31"/>
              </a:solidFill>
              <a:latin typeface="Calibri"/>
              <a:cs typeface="Calibri"/>
            </a:rPr>
            <a:pPr algn="r"/>
            <a:t> </a:t>
          </a:fld>
          <a:endParaRPr lang="de-DE" sz="1100"/>
        </a:p>
      </xdr:txBody>
    </xdr:sp>
    <xdr:clientData/>
  </xdr:twoCellAnchor>
  <xdr:twoCellAnchor>
    <xdr:from>
      <xdr:col>20</xdr:col>
      <xdr:colOff>203858</xdr:colOff>
      <xdr:row>40</xdr:row>
      <xdr:rowOff>58573</xdr:rowOff>
    </xdr:from>
    <xdr:to>
      <xdr:col>20</xdr:col>
      <xdr:colOff>467565</xdr:colOff>
      <xdr:row>41</xdr:row>
      <xdr:rowOff>155655</xdr:rowOff>
    </xdr:to>
    <xdr:sp macro="" textlink="">
      <xdr:nvSpPr>
        <xdr:cNvPr id="17" name="Textfeld 16" title="Met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9728987" y="8557114"/>
          <a:ext cx="263707" cy="294306"/>
        </a:xfrm>
        <a:prstGeom prst="rect">
          <a:avLst/>
        </a:prstGeom>
        <a:solidFill>
          <a:srgbClr val="FFCC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t>m</a:t>
          </a:r>
        </a:p>
      </xdr:txBody>
    </xdr:sp>
    <xdr:clientData/>
  </xdr:twoCellAnchor>
  <xdr:twoCellAnchor>
    <xdr:from>
      <xdr:col>15</xdr:col>
      <xdr:colOff>317179</xdr:colOff>
      <xdr:row>16</xdr:row>
      <xdr:rowOff>183229</xdr:rowOff>
    </xdr:from>
    <xdr:to>
      <xdr:col>15</xdr:col>
      <xdr:colOff>626058</xdr:colOff>
      <xdr:row>18</xdr:row>
      <xdr:rowOff>36393</xdr:rowOff>
    </xdr:to>
    <xdr:sp macro="" textlink="">
      <xdr:nvSpPr>
        <xdr:cNvPr id="18" name="Textfeld 17" title="Met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rot="16200000">
          <a:off x="15865719" y="3630901"/>
          <a:ext cx="319329" cy="308879"/>
        </a:xfrm>
        <a:prstGeom prst="rect">
          <a:avLst/>
        </a:prstGeom>
        <a:solidFill>
          <a:srgbClr val="FFCC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t>m</a:t>
          </a:r>
        </a:p>
      </xdr:txBody>
    </xdr:sp>
    <xdr:clientData/>
  </xdr:twoCellAnchor>
  <xdr:twoCellAnchor>
    <xdr:from>
      <xdr:col>18</xdr:col>
      <xdr:colOff>158694</xdr:colOff>
      <xdr:row>17</xdr:row>
      <xdr:rowOff>111625</xdr:rowOff>
    </xdr:from>
    <xdr:to>
      <xdr:col>18</xdr:col>
      <xdr:colOff>406344</xdr:colOff>
      <xdr:row>18</xdr:row>
      <xdr:rowOff>135908</xdr:rowOff>
    </xdr:to>
    <xdr:sp macro="" textlink="">
      <xdr:nvSpPr>
        <xdr:cNvPr id="19" name="Textfeld 18" title="Met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rot="16200000">
          <a:off x="18044856" y="3793376"/>
          <a:ext cx="256196" cy="247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t>m</a:t>
          </a:r>
        </a:p>
      </xdr:txBody>
    </xdr:sp>
    <xdr:clientData/>
  </xdr:twoCellAnchor>
  <xdr:twoCellAnchor>
    <xdr:from>
      <xdr:col>16</xdr:col>
      <xdr:colOff>316155</xdr:colOff>
      <xdr:row>33</xdr:row>
      <xdr:rowOff>46275</xdr:rowOff>
    </xdr:from>
    <xdr:to>
      <xdr:col>17</xdr:col>
      <xdr:colOff>184959</xdr:colOff>
      <xdr:row>34</xdr:row>
      <xdr:rowOff>118315</xdr:rowOff>
    </xdr:to>
    <xdr:sp macro="" textlink="$F$54">
      <xdr:nvSpPr>
        <xdr:cNvPr id="22" name="Textfeld 21" title="Lateraler Ground Risk Buffer">
          <a:extLst>
            <a:ext uri="{FF2B5EF4-FFF2-40B4-BE49-F238E27FC236}">
              <a16:creationId xmlns:a16="http://schemas.microsoft.com/office/drawing/2014/main" id="{EABEE171-40D2-4E64-8EC6-7919FCBBCAAE}"/>
            </a:ext>
          </a:extLst>
        </xdr:cNvPr>
        <xdr:cNvSpPr txBox="1"/>
      </xdr:nvSpPr>
      <xdr:spPr>
        <a:xfrm>
          <a:off x="16622955" y="7013132"/>
          <a:ext cx="685233" cy="26798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016E0A1E-69E5-43BB-9766-DE85D4FB23DA}" type="TxLink">
            <a:rPr lang="en-US" sz="1200" b="1" i="0" u="none" strike="noStrike">
              <a:solidFill>
                <a:srgbClr val="ED7D31"/>
              </a:solidFill>
              <a:latin typeface="Calibri"/>
              <a:cs typeface="Calibri"/>
            </a:rPr>
            <a:pPr algn="r"/>
            <a:t> </a:t>
          </a:fld>
          <a:endParaRPr lang="de-DE" sz="1100"/>
        </a:p>
      </xdr:txBody>
    </xdr:sp>
    <xdr:clientData/>
  </xdr:twoCellAnchor>
  <xdr:twoCellAnchor>
    <xdr:from>
      <xdr:col>17</xdr:col>
      <xdr:colOff>190455</xdr:colOff>
      <xdr:row>33</xdr:row>
      <xdr:rowOff>47644</xdr:rowOff>
    </xdr:from>
    <xdr:to>
      <xdr:col>17</xdr:col>
      <xdr:colOff>459604</xdr:colOff>
      <xdr:row>34</xdr:row>
      <xdr:rowOff>118059</xdr:rowOff>
    </xdr:to>
    <xdr:sp macro="" textlink="">
      <xdr:nvSpPr>
        <xdr:cNvPr id="23" name="Textfeld 22" title="Meter">
          <a:extLst>
            <a:ext uri="{FF2B5EF4-FFF2-40B4-BE49-F238E27FC236}">
              <a16:creationId xmlns:a16="http://schemas.microsoft.com/office/drawing/2014/main" id="{16EB72ED-2D1A-41C6-9FF8-03A80D195C95}"/>
            </a:ext>
          </a:extLst>
        </xdr:cNvPr>
        <xdr:cNvSpPr txBox="1"/>
      </xdr:nvSpPr>
      <xdr:spPr>
        <a:xfrm>
          <a:off x="17313684" y="7014501"/>
          <a:ext cx="269149" cy="266358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t>m</a:t>
          </a:r>
        </a:p>
      </xdr:txBody>
    </xdr:sp>
    <xdr:clientData/>
  </xdr:twoCellAnchor>
  <xdr:twoCellAnchor>
    <xdr:from>
      <xdr:col>20</xdr:col>
      <xdr:colOff>1292883</xdr:colOff>
      <xdr:row>17</xdr:row>
      <xdr:rowOff>152400</xdr:rowOff>
    </xdr:from>
    <xdr:to>
      <xdr:col>20</xdr:col>
      <xdr:colOff>1607126</xdr:colOff>
      <xdr:row>21</xdr:row>
      <xdr:rowOff>106909</xdr:rowOff>
    </xdr:to>
    <xdr:sp macro="" textlink="$F$56">
      <xdr:nvSpPr>
        <xdr:cNvPr id="24" name="Textfeld 23" title="Höhe Flight Geography">
          <a:extLst>
            <a:ext uri="{FF2B5EF4-FFF2-40B4-BE49-F238E27FC236}">
              <a16:creationId xmlns:a16="http://schemas.microsoft.com/office/drawing/2014/main" id="{C30AAED2-EFAA-48D3-89A8-82BE04FA9914}"/>
            </a:ext>
          </a:extLst>
        </xdr:cNvPr>
        <xdr:cNvSpPr txBox="1"/>
      </xdr:nvSpPr>
      <xdr:spPr>
        <a:xfrm rot="16200000">
          <a:off x="20578168" y="4059624"/>
          <a:ext cx="813491" cy="31424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76FB23D-61BB-4FC5-94A4-91E26BE9BF88}" type="TxLink">
            <a:rPr lang="en-US" sz="1200" b="1" i="0" u="none" strike="noStrike">
              <a:solidFill>
                <a:srgbClr val="ED7D31"/>
              </a:solidFill>
              <a:latin typeface="Calibri"/>
              <a:cs typeface="Calibri"/>
            </a:rPr>
            <a:pPr algn="r"/>
            <a:t>#ARG!</a:t>
          </a:fld>
          <a:endParaRPr lang="de-DE" sz="1100"/>
        </a:p>
      </xdr:txBody>
    </xdr:sp>
    <xdr:clientData/>
  </xdr:twoCellAnchor>
  <xdr:twoCellAnchor>
    <xdr:from>
      <xdr:col>20</xdr:col>
      <xdr:colOff>1293074</xdr:colOff>
      <xdr:row>16</xdr:row>
      <xdr:rowOff>66202</xdr:rowOff>
    </xdr:from>
    <xdr:to>
      <xdr:col>20</xdr:col>
      <xdr:colOff>1604684</xdr:colOff>
      <xdr:row>17</xdr:row>
      <xdr:rowOff>153847</xdr:rowOff>
    </xdr:to>
    <xdr:sp macro="" textlink="">
      <xdr:nvSpPr>
        <xdr:cNvPr id="25" name="Textfeld 24" title="Meter">
          <a:extLst>
            <a:ext uri="{FF2B5EF4-FFF2-40B4-BE49-F238E27FC236}">
              <a16:creationId xmlns:a16="http://schemas.microsoft.com/office/drawing/2014/main" id="{B3D43E6E-FF39-4573-AB0E-7F1C7F94CF45}"/>
            </a:ext>
          </a:extLst>
        </xdr:cNvPr>
        <xdr:cNvSpPr txBox="1"/>
      </xdr:nvSpPr>
      <xdr:spPr>
        <a:xfrm rot="16200000">
          <a:off x="20813644" y="3513208"/>
          <a:ext cx="320727" cy="31161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t>m</a:t>
          </a:r>
        </a:p>
      </xdr:txBody>
    </xdr:sp>
    <xdr:clientData/>
  </xdr:twoCellAnchor>
  <xdr:twoCellAnchor>
    <xdr:from>
      <xdr:col>16</xdr:col>
      <xdr:colOff>545796</xdr:colOff>
      <xdr:row>23</xdr:row>
      <xdr:rowOff>15418</xdr:rowOff>
    </xdr:from>
    <xdr:to>
      <xdr:col>17</xdr:col>
      <xdr:colOff>371944</xdr:colOff>
      <xdr:row>24</xdr:row>
      <xdr:rowOff>47755</xdr:rowOff>
    </xdr:to>
    <xdr:sp macro="" textlink="$F$19">
      <xdr:nvSpPr>
        <xdr:cNvPr id="28" name="Textfeld 27" title="Lateraler Ground Risk Buffer">
          <a:extLst>
            <a:ext uri="{FF2B5EF4-FFF2-40B4-BE49-F238E27FC236}">
              <a16:creationId xmlns:a16="http://schemas.microsoft.com/office/drawing/2014/main" id="{1F284095-9C05-4FC2-A7B9-B0DA35FED288}"/>
            </a:ext>
          </a:extLst>
        </xdr:cNvPr>
        <xdr:cNvSpPr txBox="1"/>
      </xdr:nvSpPr>
      <xdr:spPr>
        <a:xfrm>
          <a:off x="16852596" y="4892218"/>
          <a:ext cx="642577" cy="22828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86779583-2B8B-4D56-A68D-AB97053BBE92}" type="TxLink">
            <a:rPr lang="en-US" sz="1200" b="1" i="0" u="none" strike="noStrike">
              <a:solidFill>
                <a:srgbClr val="FA7D00"/>
              </a:solidFill>
              <a:latin typeface="Calibri"/>
              <a:cs typeface="Calibri"/>
            </a:rPr>
            <a:pPr algn="r"/>
            <a:t> </a:t>
          </a:fld>
          <a:endParaRPr lang="de-DE" sz="1100"/>
        </a:p>
      </xdr:txBody>
    </xdr:sp>
    <xdr:clientData/>
  </xdr:twoCellAnchor>
  <xdr:twoCellAnchor>
    <xdr:from>
      <xdr:col>17</xdr:col>
      <xdr:colOff>314682</xdr:colOff>
      <xdr:row>23</xdr:row>
      <xdr:rowOff>14940</xdr:rowOff>
    </xdr:from>
    <xdr:to>
      <xdr:col>17</xdr:col>
      <xdr:colOff>616488</xdr:colOff>
      <xdr:row>24</xdr:row>
      <xdr:rowOff>48077</xdr:rowOff>
    </xdr:to>
    <xdr:sp macro="" textlink="">
      <xdr:nvSpPr>
        <xdr:cNvPr id="29" name="Textfeld 28" title="Meter">
          <a:extLst>
            <a:ext uri="{FF2B5EF4-FFF2-40B4-BE49-F238E27FC236}">
              <a16:creationId xmlns:a16="http://schemas.microsoft.com/office/drawing/2014/main" id="{826E38B4-C633-4F59-AD7B-61BF0E148E54}"/>
            </a:ext>
          </a:extLst>
        </xdr:cNvPr>
        <xdr:cNvSpPr txBox="1"/>
      </xdr:nvSpPr>
      <xdr:spPr>
        <a:xfrm>
          <a:off x="17437911" y="4891740"/>
          <a:ext cx="301806" cy="22908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t>m</a:t>
          </a:r>
        </a:p>
      </xdr:txBody>
    </xdr:sp>
    <xdr:clientData/>
  </xdr:twoCellAnchor>
  <xdr:twoCellAnchor>
    <xdr:from>
      <xdr:col>15</xdr:col>
      <xdr:colOff>323852</xdr:colOff>
      <xdr:row>20</xdr:row>
      <xdr:rowOff>169545</xdr:rowOff>
    </xdr:from>
    <xdr:to>
      <xdr:col>15</xdr:col>
      <xdr:colOff>589605</xdr:colOff>
      <xdr:row>23</xdr:row>
      <xdr:rowOff>85721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C5AAD719-8CD4-4C42-9987-3619D6852E29}"/>
            </a:ext>
          </a:extLst>
        </xdr:cNvPr>
        <xdr:cNvSpPr txBox="1"/>
      </xdr:nvSpPr>
      <xdr:spPr>
        <a:xfrm rot="16200000">
          <a:off x="15695778" y="4619144"/>
          <a:ext cx="516251" cy="2657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pl-PL" sz="12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CV =</a:t>
          </a:r>
          <a:endParaRPr lang="pl-P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U66"/>
  <sheetViews>
    <sheetView tabSelected="1" zoomScale="55" zoomScaleNormal="55" workbookViewId="0">
      <selection activeCell="F45" sqref="F45"/>
    </sheetView>
  </sheetViews>
  <sheetFormatPr defaultColWidth="11.44140625" defaultRowHeight="14.4" x14ac:dyDescent="0.3"/>
  <cols>
    <col min="1" max="1" width="4.88671875" customWidth="1"/>
    <col min="2" max="2" width="8.88671875" bestFit="1" customWidth="1"/>
    <col min="3" max="3" width="65" bestFit="1" customWidth="1"/>
    <col min="5" max="5" width="2.109375" bestFit="1" customWidth="1"/>
    <col min="8" max="8" width="17.88671875" bestFit="1" customWidth="1"/>
    <col min="10" max="10" width="5.109375" customWidth="1"/>
    <col min="11" max="11" width="35.44140625" customWidth="1"/>
    <col min="12" max="12" width="7" bestFit="1" customWidth="1"/>
    <col min="17" max="17" width="11.88671875" bestFit="1" customWidth="1"/>
    <col min="21" max="21" width="32.33203125" customWidth="1"/>
  </cols>
  <sheetData>
    <row r="1" spans="1:21" ht="21" x14ac:dyDescent="0.4">
      <c r="A1" s="13" t="s">
        <v>56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5"/>
      <c r="R1" s="15"/>
      <c r="S1" s="15"/>
      <c r="T1" s="15"/>
      <c r="U1" s="15"/>
    </row>
    <row r="2" spans="1:21" ht="15.6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 t="s">
        <v>89</v>
      </c>
      <c r="N2" s="48" t="s">
        <v>41</v>
      </c>
      <c r="O2" s="16"/>
      <c r="P2" s="16"/>
      <c r="Q2" s="15"/>
      <c r="R2" s="15"/>
      <c r="S2" s="15"/>
      <c r="T2" s="15"/>
      <c r="U2" s="15"/>
    </row>
    <row r="3" spans="1:21" ht="15.6" x14ac:dyDescent="0.3">
      <c r="A3" s="17" t="s">
        <v>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36" t="s">
        <v>90</v>
      </c>
      <c r="N3" s="16"/>
      <c r="O3" s="16"/>
      <c r="P3" s="16"/>
      <c r="Q3" s="15"/>
      <c r="R3" s="15"/>
      <c r="S3" s="15"/>
      <c r="T3" s="15"/>
      <c r="U3" s="15"/>
    </row>
    <row r="4" spans="1:21" ht="15.6" x14ac:dyDescent="0.3">
      <c r="A4" s="16"/>
      <c r="B4" s="16"/>
      <c r="C4" s="16"/>
      <c r="D4" s="16" t="s">
        <v>42</v>
      </c>
      <c r="E4" s="16"/>
      <c r="F4" s="76" t="s">
        <v>43</v>
      </c>
      <c r="G4" s="76"/>
      <c r="H4" s="16"/>
      <c r="I4" s="16"/>
      <c r="J4" s="16"/>
      <c r="K4" s="16"/>
      <c r="L4" s="16"/>
      <c r="M4" s="36" t="s">
        <v>25</v>
      </c>
      <c r="N4" s="36"/>
      <c r="O4" s="36"/>
      <c r="P4" s="36"/>
      <c r="Q4" s="46"/>
      <c r="R4" s="36"/>
      <c r="S4" s="36"/>
      <c r="T4" s="37"/>
      <c r="U4" s="15"/>
    </row>
    <row r="5" spans="1:21" ht="15.6" x14ac:dyDescent="0.3">
      <c r="A5" s="16"/>
      <c r="B5" s="16"/>
      <c r="C5" s="16"/>
      <c r="D5" s="16"/>
      <c r="E5" s="16"/>
      <c r="F5" s="35" t="str">
        <f>IF(F4="","",IF(OR(F4="Śmigłowiec",F4="Wielowirnikowiec"),"Wielowirnikowiec",IF(F4="Stałopłat","Stałopłat","")))</f>
        <v>Wielowirnikowiec</v>
      </c>
      <c r="G5" s="16"/>
      <c r="H5" s="16"/>
      <c r="I5" s="16"/>
      <c r="J5" s="16"/>
      <c r="K5" s="16"/>
      <c r="L5" s="16"/>
      <c r="N5" s="36"/>
      <c r="O5" s="36"/>
      <c r="P5" s="36"/>
      <c r="Q5" s="36"/>
      <c r="R5" s="36"/>
      <c r="S5" s="36"/>
      <c r="T5" s="37"/>
      <c r="U5" s="15"/>
    </row>
    <row r="6" spans="1:21" ht="18" x14ac:dyDescent="0.4">
      <c r="A6" s="16"/>
      <c r="B6" s="16"/>
      <c r="C6" s="16" t="s">
        <v>58</v>
      </c>
      <c r="D6" s="16" t="s">
        <v>21</v>
      </c>
      <c r="E6" s="16" t="s">
        <v>0</v>
      </c>
      <c r="F6" s="27"/>
      <c r="G6" s="69" t="s">
        <v>1</v>
      </c>
      <c r="H6" s="35" t="str">
        <f>IF(F6="","",IF(G6="m/s",F6,IF(G6="kts",F6*0.51444,"")))</f>
        <v/>
      </c>
      <c r="I6" s="67" t="str">
        <f>IF(G6="kts","Hinweis: 1 kts = 1 NM/h = 1,852 km/h = 0,51444 m/s","")</f>
        <v/>
      </c>
      <c r="J6" s="16"/>
      <c r="K6" s="16"/>
      <c r="L6" s="16"/>
      <c r="M6" s="42" t="s">
        <v>91</v>
      </c>
      <c r="N6" s="16"/>
      <c r="O6" s="16"/>
      <c r="P6" s="16"/>
      <c r="Q6" s="15"/>
      <c r="R6" s="15"/>
      <c r="S6" s="15"/>
      <c r="T6" s="15"/>
      <c r="U6" s="15"/>
    </row>
    <row r="7" spans="1:21" ht="15.6" x14ac:dyDescent="0.3">
      <c r="A7" s="16"/>
      <c r="B7" s="16"/>
      <c r="C7" s="16" t="s">
        <v>59</v>
      </c>
      <c r="D7" s="16" t="s">
        <v>2</v>
      </c>
      <c r="E7" s="16" t="s">
        <v>0</v>
      </c>
      <c r="F7" s="27"/>
      <c r="G7" s="16" t="s">
        <v>3</v>
      </c>
      <c r="H7" s="16"/>
      <c r="I7" s="16"/>
      <c r="J7" s="16"/>
      <c r="K7" s="16"/>
      <c r="L7" s="16"/>
      <c r="M7" s="16"/>
      <c r="N7" s="16"/>
      <c r="O7" s="16"/>
      <c r="P7" s="16"/>
      <c r="Q7" s="15"/>
      <c r="R7" s="15"/>
      <c r="S7" s="15"/>
      <c r="T7" s="15"/>
      <c r="U7" s="15"/>
    </row>
    <row r="8" spans="1:21" ht="15.6" x14ac:dyDescent="0.3">
      <c r="A8" s="16"/>
      <c r="B8" s="16"/>
      <c r="C8" s="16" t="s">
        <v>46</v>
      </c>
      <c r="D8" s="16"/>
      <c r="E8" s="16"/>
      <c r="G8" s="16"/>
      <c r="H8" s="16"/>
      <c r="J8" s="16"/>
      <c r="K8" s="16"/>
      <c r="L8" s="16"/>
      <c r="M8" s="17" t="s">
        <v>92</v>
      </c>
      <c r="N8" s="73"/>
      <c r="O8" s="74"/>
      <c r="P8" s="74"/>
      <c r="Q8" s="74"/>
      <c r="R8" s="74"/>
      <c r="S8" s="74"/>
      <c r="T8" s="75"/>
      <c r="U8" s="15"/>
    </row>
    <row r="9" spans="1:21" ht="18" x14ac:dyDescent="0.4">
      <c r="A9" s="16"/>
      <c r="B9" s="16"/>
      <c r="C9" s="28" t="s">
        <v>47</v>
      </c>
      <c r="D9" s="16" t="s">
        <v>26</v>
      </c>
      <c r="E9" s="16" t="s">
        <v>0</v>
      </c>
      <c r="F9" s="1">
        <f>IF(I9&lt;&gt;"",I9,IF(C9="barometryczny",1,IF(C9="oparty na GPS",4,"")))</f>
        <v>1</v>
      </c>
      <c r="G9" s="16" t="s">
        <v>3</v>
      </c>
      <c r="H9" s="16" t="s">
        <v>64</v>
      </c>
      <c r="I9" s="27"/>
      <c r="J9" s="16" t="s">
        <v>3</v>
      </c>
      <c r="K9" s="45" t="str">
        <f>IF(I9&lt;&gt;"",IF(C9=Hintergrund!$B$1,IF(I9&lt;1,"Wymagane uzasadnienie",""),IF(C9=Hintergrund!$B$2,IF(I9&lt;4,"Wymagane uzasadnienie",""))),"")</f>
        <v/>
      </c>
      <c r="L9" s="49"/>
      <c r="M9" s="17" t="s">
        <v>17</v>
      </c>
      <c r="N9" s="73"/>
      <c r="O9" s="74"/>
      <c r="P9" s="74"/>
      <c r="Q9" s="74"/>
      <c r="R9" s="74"/>
      <c r="S9" s="74"/>
      <c r="T9" s="75"/>
      <c r="U9" s="15"/>
    </row>
    <row r="10" spans="1:21" ht="18" x14ac:dyDescent="0.4">
      <c r="A10" s="16"/>
      <c r="B10" s="16"/>
      <c r="C10" s="16" t="s">
        <v>60</v>
      </c>
      <c r="D10" s="58" t="s">
        <v>27</v>
      </c>
      <c r="E10" s="16" t="s">
        <v>0</v>
      </c>
      <c r="F10" s="1">
        <f>IF(I10="",3,I10)</f>
        <v>3</v>
      </c>
      <c r="G10" s="16" t="s">
        <v>3</v>
      </c>
      <c r="H10" s="16" t="s">
        <v>64</v>
      </c>
      <c r="I10" s="27"/>
      <c r="J10" s="16" t="s">
        <v>3</v>
      </c>
      <c r="K10" s="45" t="str">
        <f>IF(I10&lt;&gt;"",IF(I10&lt;3,"Wymagane uzasadnienie",""),"")</f>
        <v/>
      </c>
      <c r="L10" s="45"/>
      <c r="M10" s="36" t="s">
        <v>93</v>
      </c>
      <c r="N10" s="38">
        <f ca="1">TODAY()</f>
        <v>45811</v>
      </c>
      <c r="O10" s="15"/>
      <c r="P10" s="15"/>
      <c r="Q10" s="15"/>
      <c r="R10" s="15"/>
      <c r="S10" s="15"/>
      <c r="T10" s="15"/>
      <c r="U10" s="15"/>
    </row>
    <row r="11" spans="1:21" ht="18" x14ac:dyDescent="0.4">
      <c r="A11" s="16"/>
      <c r="B11" s="16"/>
      <c r="C11" s="16" t="s">
        <v>61</v>
      </c>
      <c r="D11" s="58" t="s">
        <v>28</v>
      </c>
      <c r="E11" s="16" t="s">
        <v>0</v>
      </c>
      <c r="F11" s="1">
        <f t="shared" ref="F11" si="0">IF(I11="",3,I11)</f>
        <v>3</v>
      </c>
      <c r="G11" s="16" t="s">
        <v>3</v>
      </c>
      <c r="H11" s="16" t="s">
        <v>64</v>
      </c>
      <c r="I11" s="27"/>
      <c r="J11" s="16" t="s">
        <v>3</v>
      </c>
      <c r="K11" s="45" t="str">
        <f>IF(I11&lt;&gt;"",IF(I11&lt;3,"Wymagane uzasadnienie",""),"")</f>
        <v/>
      </c>
      <c r="L11" s="4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18" x14ac:dyDescent="0.4">
      <c r="A12" s="16"/>
      <c r="B12" s="16"/>
      <c r="C12" s="16" t="s">
        <v>62</v>
      </c>
      <c r="D12" s="58" t="s">
        <v>29</v>
      </c>
      <c r="E12" s="16" t="s">
        <v>0</v>
      </c>
      <c r="F12" s="1">
        <f>IF(I12="",1,I12)</f>
        <v>1</v>
      </c>
      <c r="G12" s="16" t="s">
        <v>3</v>
      </c>
      <c r="H12" s="16" t="s">
        <v>64</v>
      </c>
      <c r="I12" s="27"/>
      <c r="J12" s="16" t="s">
        <v>3</v>
      </c>
      <c r="K12" s="45" t="str">
        <f>IF(I12&lt;&gt;"",IF(I12&lt;1,"Wymagane uzasadnienie",""),"")</f>
        <v/>
      </c>
      <c r="L12" s="45"/>
      <c r="M12" s="70" t="s">
        <v>94</v>
      </c>
      <c r="N12" s="15"/>
      <c r="O12" s="15"/>
      <c r="P12" s="15"/>
      <c r="Q12" s="15"/>
      <c r="R12" s="15"/>
      <c r="S12" s="15"/>
      <c r="T12" s="15"/>
      <c r="U12" s="15"/>
    </row>
    <row r="13" spans="1:21" ht="18" x14ac:dyDescent="0.4">
      <c r="A13" s="16"/>
      <c r="B13" s="16"/>
      <c r="C13" s="16" t="s">
        <v>63</v>
      </c>
      <c r="D13" s="16" t="s">
        <v>22</v>
      </c>
      <c r="E13" s="16" t="s">
        <v>0</v>
      </c>
      <c r="F13" s="27">
        <v>1</v>
      </c>
      <c r="G13" s="16" t="s">
        <v>5</v>
      </c>
      <c r="H13" s="16"/>
      <c r="I13" s="16"/>
      <c r="J13" s="16"/>
      <c r="K13" s="16"/>
      <c r="L13" s="16"/>
    </row>
    <row r="14" spans="1:21" ht="15.6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21" ht="15.6" x14ac:dyDescent="0.3">
      <c r="A15" s="18" t="s">
        <v>98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21" ht="15.6" x14ac:dyDescent="0.3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68"/>
    </row>
    <row r="17" spans="1:12" ht="18" x14ac:dyDescent="0.4">
      <c r="A17" s="2"/>
      <c r="B17" s="3"/>
      <c r="C17" s="3" t="s">
        <v>65</v>
      </c>
      <c r="D17" s="40" t="s">
        <v>30</v>
      </c>
      <c r="E17" s="3" t="s">
        <v>0</v>
      </c>
      <c r="F17" s="29"/>
      <c r="G17" s="69" t="s">
        <v>3</v>
      </c>
      <c r="H17" s="4" t="str">
        <f>IF(F17&lt;&gt;"",IF(L17&lt;3*F7,"Wysokość przestrzeni lotu jest nierealistyczna",""),"")</f>
        <v/>
      </c>
      <c r="I17" s="3"/>
      <c r="J17" s="3"/>
      <c r="K17" s="3"/>
      <c r="L17" s="68" t="str">
        <f>IF(F17="","",IF(G17="m",F17,IF(G17="ft",F17*0.3048,"")))</f>
        <v/>
      </c>
    </row>
    <row r="18" spans="1:12" ht="18" x14ac:dyDescent="0.4">
      <c r="A18" s="2"/>
      <c r="B18" s="3"/>
      <c r="C18" s="3" t="s">
        <v>66</v>
      </c>
      <c r="D18" s="40" t="s">
        <v>30</v>
      </c>
      <c r="E18" s="5" t="s">
        <v>4</v>
      </c>
      <c r="F18" s="6" t="str">
        <f>IF(F7="","",F7*3)</f>
        <v/>
      </c>
      <c r="G18" s="3" t="s">
        <v>3</v>
      </c>
      <c r="H18" s="39" t="str">
        <f>IF(F17&lt;&gt;"",IF(L17&lt;3*F7,"(realna wynosi minimum " &amp; F18 &amp; " m)",""),"")</f>
        <v/>
      </c>
      <c r="I18" s="3"/>
      <c r="J18" s="3"/>
      <c r="K18" s="3"/>
      <c r="L18" s="2"/>
    </row>
    <row r="19" spans="1:12" ht="18" x14ac:dyDescent="0.4">
      <c r="A19" s="2"/>
      <c r="B19" s="3"/>
      <c r="C19" s="3" t="s">
        <v>67</v>
      </c>
      <c r="D19" s="40" t="s">
        <v>31</v>
      </c>
      <c r="E19" s="5" t="s">
        <v>4</v>
      </c>
      <c r="F19" s="6" t="str">
        <f>IF(F7="","",F7*3)</f>
        <v/>
      </c>
      <c r="G19" s="3" t="s">
        <v>3</v>
      </c>
      <c r="H19" s="3"/>
      <c r="I19" s="3"/>
      <c r="J19" s="3"/>
      <c r="K19" s="3"/>
      <c r="L19" s="2"/>
    </row>
    <row r="20" spans="1:12" ht="15.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6" x14ac:dyDescent="0.3">
      <c r="A21" s="19" t="s">
        <v>69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5.6" x14ac:dyDescent="0.3">
      <c r="A22" s="1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t="15.6" x14ac:dyDescent="0.3">
      <c r="A23" s="7"/>
      <c r="B23" s="20" t="s">
        <v>70</v>
      </c>
      <c r="C23" s="8"/>
      <c r="D23" s="8"/>
      <c r="E23" s="8"/>
      <c r="F23" s="8"/>
      <c r="G23" s="8"/>
      <c r="H23" s="8"/>
      <c r="I23" s="8"/>
      <c r="J23" s="8"/>
      <c r="K23" s="8"/>
      <c r="L23" s="9"/>
    </row>
    <row r="24" spans="1:12" ht="15.6" x14ac:dyDescent="0.3">
      <c r="A24" s="7"/>
      <c r="B24" s="8"/>
      <c r="C24" s="8" t="s">
        <v>68</v>
      </c>
      <c r="D24" s="77"/>
      <c r="E24" s="77"/>
      <c r="F24" s="77"/>
      <c r="G24" s="77"/>
      <c r="H24" s="77"/>
      <c r="I24" s="77"/>
      <c r="J24" s="55">
        <f>IF(OR(D24=Hintergrund!C7,D24=Hintergrund!D7),1,0)</f>
        <v>0</v>
      </c>
      <c r="K24" s="8"/>
      <c r="L24" s="9"/>
    </row>
    <row r="25" spans="1:12" ht="15.6" x14ac:dyDescent="0.3">
      <c r="A25" s="7"/>
      <c r="B25" s="8"/>
      <c r="C25" s="8" t="str">
        <f>IF(F5="","",IF(AND(F5=Hintergrund!C5,D24=Hintergrund!C6),"Kąt nachylenia",IF(AND(F5=Hintergrund!C5,D24=Hintergrund!C7),"",IF(AND(F5=Hintergrund!D5,D24=Hintergrund!D6),"Rollwinkel",IF(AND(F5=Hintergrund!D5,D24=Hintergrund!D7),"","")))))</f>
        <v/>
      </c>
      <c r="D25" s="8" t="str">
        <f>IF(C25="","",IF(C25="Kąt nachylenia","Θ",IF(C25="Rollwinkel","Φ","")))</f>
        <v/>
      </c>
      <c r="E25" s="8" t="str">
        <f>IF(C25="","","=")</f>
        <v/>
      </c>
      <c r="F25" s="30">
        <v>30</v>
      </c>
      <c r="G25" s="8" t="str">
        <f>IF(C25="","","°")</f>
        <v/>
      </c>
      <c r="H25" s="41" t="str">
        <f>IF(AND(C25="Kąt nachylenia",F25&lt;&gt;""),IF(F25&gt;45,"Uwaga: Kąt nachylenia wynosi &gt; 45°",""),IF(AND(C25="Rollwinkel",F25&lt;&gt;""),IF(F25&gt;30,"Hinweis: Kąt nachylenia wynosi &gt; 30°",""),""))</f>
        <v/>
      </c>
      <c r="I25" s="8"/>
      <c r="J25" s="8"/>
      <c r="K25" s="8"/>
      <c r="L25" s="9" t="str">
        <f>IF(OR(F25="",D25=""),"",IF(C25="Kąt nachylenia",0.5*H6*H6/(9.81*TAN(RADIANS(F25))),IF(C25="Rollwinkel",H6*H6/(9.81*TAN(RADIANS(F25))),"")))</f>
        <v/>
      </c>
    </row>
    <row r="26" spans="1:12" ht="15.6" x14ac:dyDescent="0.3">
      <c r="A26" s="7"/>
      <c r="B26" s="8"/>
      <c r="C26" s="8" t="str">
        <f>IF($F$5="","",IF(AND($F$5=Hintergrund!C5,D24=Hintergrund!C7),"Czas otwarcia spadochronu",IF(AND($F$5=Hintergrund!C5,D24=Hintergrund!C6),"",IF(AND($F$5=Hintergrund!D5,D24=Hintergrund!D7),"Czas otwarcia spadochronu",IF(AND($F$5=Hintergrund!D5,D24=Hintergrund!D6),"","")))))</f>
        <v/>
      </c>
      <c r="D26" s="8" t="str">
        <f>IF(C26="","","t")</f>
        <v/>
      </c>
      <c r="E26" s="8" t="str">
        <f>IF(C26="","","=")</f>
        <v/>
      </c>
      <c r="F26" s="31">
        <v>2</v>
      </c>
      <c r="G26" s="8" t="str">
        <f>IF(C26="","","s")</f>
        <v/>
      </c>
      <c r="H26" s="8"/>
      <c r="I26" s="8"/>
      <c r="J26" s="8"/>
      <c r="K26" s="8"/>
      <c r="L26" s="9" t="str">
        <f>IF(OR(F26="",D26=""),"",H6*F26)</f>
        <v/>
      </c>
    </row>
    <row r="27" spans="1:12" ht="18" x14ac:dyDescent="0.4">
      <c r="A27" s="7"/>
      <c r="B27" s="8"/>
      <c r="C27" s="8" t="s">
        <v>71</v>
      </c>
      <c r="D27" s="8" t="s">
        <v>32</v>
      </c>
      <c r="E27" s="8" t="s">
        <v>0</v>
      </c>
      <c r="F27" s="8" t="str">
        <f>IF(OR(F13="",H6=""),"",H6*F13)</f>
        <v/>
      </c>
      <c r="G27" s="8" t="s">
        <v>3</v>
      </c>
      <c r="H27" s="8"/>
      <c r="I27" s="8"/>
      <c r="J27" s="8"/>
      <c r="K27" s="8"/>
      <c r="L27" s="9"/>
    </row>
    <row r="28" spans="1:12" ht="18" x14ac:dyDescent="0.4">
      <c r="A28" s="7"/>
      <c r="B28" s="8"/>
      <c r="C28" s="8" t="s">
        <v>72</v>
      </c>
      <c r="D28" s="8" t="s">
        <v>33</v>
      </c>
      <c r="E28" s="8" t="s">
        <v>0</v>
      </c>
      <c r="F28" s="44" t="str">
        <f>IF(L25&lt;&gt;"",L25,IF(L26&lt;&gt;"",L26,""))</f>
        <v/>
      </c>
      <c r="G28" s="8" t="s">
        <v>3</v>
      </c>
      <c r="H28" s="8"/>
      <c r="I28" s="8"/>
      <c r="J28" s="8"/>
      <c r="K28" s="8"/>
      <c r="L28" s="9"/>
    </row>
    <row r="29" spans="1:12" ht="15.6" x14ac:dyDescent="0.3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9"/>
    </row>
    <row r="30" spans="1:12" ht="18" x14ac:dyDescent="0.4">
      <c r="A30" s="7"/>
      <c r="B30" s="8"/>
      <c r="C30" s="8" t="s">
        <v>97</v>
      </c>
      <c r="D30" s="8" t="s">
        <v>34</v>
      </c>
      <c r="E30" s="57" t="s">
        <v>4</v>
      </c>
      <c r="F30" s="43" t="str">
        <f>IF(L30="","",L30)</f>
        <v/>
      </c>
      <c r="G30" s="8" t="s">
        <v>73</v>
      </c>
      <c r="H30" s="8"/>
      <c r="I30" s="8"/>
      <c r="J30" s="8"/>
      <c r="K30" s="8"/>
      <c r="L30" s="9" t="str">
        <f>IF(F28="","",F10+F11+F12+F27+F28)</f>
        <v/>
      </c>
    </row>
    <row r="31" spans="1:12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9"/>
    </row>
    <row r="32" spans="1:12" ht="15.6" x14ac:dyDescent="0.3">
      <c r="A32" s="7"/>
      <c r="B32" s="20" t="s">
        <v>74</v>
      </c>
      <c r="C32" s="8"/>
      <c r="D32" s="8"/>
      <c r="E32" s="8"/>
      <c r="F32" s="8"/>
      <c r="G32" s="8"/>
      <c r="H32" s="8"/>
      <c r="I32" s="8"/>
      <c r="J32" s="8"/>
      <c r="K32" s="8"/>
      <c r="L32" s="9"/>
    </row>
    <row r="33" spans="1:12" ht="18" x14ac:dyDescent="0.4">
      <c r="A33" s="7"/>
      <c r="B33" s="8"/>
      <c r="C33" s="8" t="s">
        <v>71</v>
      </c>
      <c r="D33" s="8" t="s">
        <v>35</v>
      </c>
      <c r="E33" s="8" t="s">
        <v>0</v>
      </c>
      <c r="F33" s="53" t="str">
        <f>IF(OR(F6="",F13=""),"",IF(I33="",H6*0.7*F13,I33))</f>
        <v/>
      </c>
      <c r="G33" s="8" t="s">
        <v>3</v>
      </c>
      <c r="H33" s="8" t="s">
        <v>64</v>
      </c>
      <c r="I33" s="29"/>
      <c r="J33" s="8" t="s">
        <v>3</v>
      </c>
      <c r="K33" s="8"/>
      <c r="L33" s="9"/>
    </row>
    <row r="34" spans="1:12" ht="15.6" x14ac:dyDescent="0.3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9"/>
    </row>
    <row r="35" spans="1:12" ht="15.6" x14ac:dyDescent="0.3">
      <c r="A35" s="7"/>
      <c r="B35" s="8"/>
      <c r="C35" s="8" t="s">
        <v>68</v>
      </c>
      <c r="D35" s="77" t="s">
        <v>50</v>
      </c>
      <c r="E35" s="77"/>
      <c r="F35" s="77"/>
      <c r="G35" s="77"/>
      <c r="H35" s="77"/>
      <c r="I35" s="77"/>
      <c r="J35" s="55">
        <f>J24+IF(OR(D35=Hintergrund!L7,D35=Hintergrund!M7),1,0)</f>
        <v>0</v>
      </c>
      <c r="K35" s="56" t="e">
        <f>0.5*H6*H6/9.81</f>
        <v>#VALUE!</v>
      </c>
      <c r="L35" s="9" t="e">
        <f>H6*H6/9.81*0.3</f>
        <v>#VALUE!</v>
      </c>
    </row>
    <row r="36" spans="1:12" ht="15.6" x14ac:dyDescent="0.3">
      <c r="A36" s="7"/>
      <c r="B36" s="8"/>
      <c r="C36" s="8" t="str">
        <f>IF($F$5="","",IF(AND($F$5=Hintergrund!D1,D35=Hintergrund!L7,D24&lt;&gt;Hintergrund!C7),"Czas otwarcia spadochronu",IF(AND($F$5=Hintergrund!F1,D35=Hintergrund!M7,D24&lt;&gt;Hintergrund!D7),"Czas otwarcia spadochronu","")))</f>
        <v/>
      </c>
      <c r="D36" s="8" t="str">
        <f>IF(C36="","","t")</f>
        <v/>
      </c>
      <c r="E36" s="8" t="str">
        <f>IF(C36="","","=")</f>
        <v/>
      </c>
      <c r="F36" s="30">
        <v>2</v>
      </c>
      <c r="G36" s="8" t="str">
        <f>IF(C36="","","s")</f>
        <v/>
      </c>
      <c r="H36" s="55">
        <f>IF(AND(F5=Hintergrund!D1,D24=Hintergrund!C7),F26,IF(AND(F5=Hintergrund!F1,D24=Hintergrund!D7),F26,F36))</f>
        <v>2</v>
      </c>
      <c r="I36" s="8"/>
      <c r="J36" s="8"/>
      <c r="K36" s="56" t="e">
        <f>H6*H36*0.7</f>
        <v>#VALUE!</v>
      </c>
      <c r="L36" s="9" t="e">
        <f>H6*H36*0.7</f>
        <v>#VALUE!</v>
      </c>
    </row>
    <row r="37" spans="1:12" ht="18" x14ac:dyDescent="0.4">
      <c r="A37" s="7"/>
      <c r="B37" s="8"/>
      <c r="C37" s="8" t="str">
        <f>IF(F18="","",IF(AND(F18=Hintergrund!C5,D35=Hintergrund!C6),"Kąt nachylenia",IF(AND(F18=Hintergrund!C5,D35=Hintergrund!C7),"",IF(AND(F18=Hintergrund!D5,D35=Hintergrund!D6),"Rollwinkel",IF(AND(F18=Hintergrund!D5,D35=Hintergrund!D7),"","")))))</f>
        <v/>
      </c>
      <c r="D37" s="8" t="s">
        <v>36</v>
      </c>
      <c r="E37" s="8" t="s">
        <v>0</v>
      </c>
      <c r="F37" s="44" t="e">
        <f>IF(D35="","",IF(F5=Hintergrund!D1,IF(D35=Hintergrund!L6,K35,IF(D35=Hintergrund!L7,K36,"")),IF(F5=Hintergrund!F1,IF(D35=Hintergrund!M6,L35,IF(D35=Hintergrund!M7,L36,"")),"")))</f>
        <v>#VALUE!</v>
      </c>
      <c r="G37" s="8" t="s">
        <v>3</v>
      </c>
      <c r="H37" s="8"/>
      <c r="I37" s="8"/>
      <c r="J37" s="8"/>
      <c r="K37" s="8"/>
      <c r="L37" s="9"/>
    </row>
    <row r="38" spans="1:12" ht="15.6" x14ac:dyDescent="0.3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9"/>
    </row>
    <row r="39" spans="1:12" ht="18" x14ac:dyDescent="0.4">
      <c r="A39" s="7"/>
      <c r="B39" s="8"/>
      <c r="C39" s="8" t="s">
        <v>76</v>
      </c>
      <c r="D39" s="8" t="s">
        <v>37</v>
      </c>
      <c r="E39" s="8" t="s">
        <v>0</v>
      </c>
      <c r="F39" s="43" t="e">
        <f>SUM(F9+F33+F37)</f>
        <v>#VALUE!</v>
      </c>
      <c r="G39" s="8" t="s">
        <v>3</v>
      </c>
      <c r="H39" s="8"/>
      <c r="I39" s="8"/>
      <c r="J39" s="8"/>
      <c r="K39" s="8"/>
      <c r="L39" s="65" t="e">
        <f>IF(F37="","",IF(OR(AND(F5=Hintergrund!D1,D35=Hintergrund!M6),AND(F5=Hintergrund!F1,D35=Hintergrund!L6)),"",L17+F9+F33+F37))</f>
        <v>#VALUE!</v>
      </c>
    </row>
    <row r="40" spans="1:12" ht="15.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</row>
    <row r="41" spans="1:12" ht="15.6" x14ac:dyDescent="0.3">
      <c r="A41" s="21" t="s">
        <v>77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5.6" x14ac:dyDescent="0.3">
      <c r="A42" s="10"/>
      <c r="B42" s="11"/>
      <c r="C42" s="11"/>
      <c r="D42" s="50" t="str">
        <f>IF(D43="","",IF(AND(OR($D$24=Hintergrund!C7,$D$35=Hintergrund!L7),D43&lt;&gt;Hintergrund!T8),"Proszę ponownie wybrać odpowiednią metodę:",""))</f>
        <v/>
      </c>
      <c r="E42" s="11"/>
      <c r="F42" s="11"/>
      <c r="G42" s="11"/>
      <c r="H42" s="11"/>
      <c r="I42" s="11"/>
      <c r="J42" s="11"/>
      <c r="K42" s="11"/>
      <c r="L42" s="10"/>
    </row>
    <row r="43" spans="1:12" ht="15.6" x14ac:dyDescent="0.3">
      <c r="A43" s="10"/>
      <c r="B43" s="11"/>
      <c r="C43" s="11" t="s">
        <v>78</v>
      </c>
      <c r="D43" s="72" t="s">
        <v>55</v>
      </c>
      <c r="E43" s="72"/>
      <c r="F43" s="72"/>
      <c r="G43" s="72"/>
      <c r="H43" s="72"/>
      <c r="I43" s="72"/>
      <c r="J43" s="54">
        <f>IF(D43="",1,IF(J35&gt;0,J35,IF(AND(J35=0,D43=Hintergrund!T8),0,1)))</f>
        <v>1</v>
      </c>
      <c r="K43" s="11"/>
      <c r="L43" s="10"/>
    </row>
    <row r="44" spans="1:12" ht="15.6" x14ac:dyDescent="0.3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0"/>
    </row>
    <row r="45" spans="1:12" ht="15.6" x14ac:dyDescent="0.3">
      <c r="A45" s="10"/>
      <c r="B45" s="11"/>
      <c r="C45" s="11" t="s">
        <v>10</v>
      </c>
      <c r="D45" s="11" t="s">
        <v>24</v>
      </c>
      <c r="E45" s="11" t="s">
        <v>0</v>
      </c>
      <c r="F45" s="32">
        <v>20</v>
      </c>
      <c r="G45" s="11"/>
      <c r="H45" s="11"/>
      <c r="I45" s="11"/>
      <c r="J45" s="11"/>
      <c r="K45" s="11"/>
      <c r="L45" s="10"/>
    </row>
    <row r="46" spans="1:12" ht="15.6" x14ac:dyDescent="0.3">
      <c r="A46" s="10"/>
      <c r="B46" s="11"/>
      <c r="C46" s="11" t="s">
        <v>75</v>
      </c>
      <c r="D46" s="11" t="str">
        <f>IF(C46="","","t")</f>
        <v>t</v>
      </c>
      <c r="E46" s="11" t="str">
        <f>IF(C46="","","=")</f>
        <v>=</v>
      </c>
      <c r="F46" s="52">
        <v>1</v>
      </c>
      <c r="G46" s="51" t="s">
        <v>5</v>
      </c>
      <c r="H46" s="54" t="str">
        <f>IF(F5=Hintergrund!D1,
IF(OR(D24=Hintergrund!C7,D35=Hintergrund!L7),IF(D24=Hintergrund!C7,F26,IF(D35=Hintergrund!L7,F36,"")),IF(D43=Hintergrund!T8,F46,"")),
IF(F5=Hintergrund!F1,
IF(OR(D24=Hintergrund!D7,D35=Hintergrund!M7),IF(D24=Hintergrund!D7,F26,IF(D35=Hintergrund!M7,F36,"")),IF(D43=Hintergrund!U8,F46,"")),
)
)</f>
        <v/>
      </c>
      <c r="I46" s="11"/>
      <c r="J46" s="11"/>
      <c r="K46" s="11"/>
      <c r="L46" s="10"/>
    </row>
    <row r="47" spans="1:12" ht="18" x14ac:dyDescent="0.4">
      <c r="A47" s="10"/>
      <c r="B47" s="11"/>
      <c r="C47" s="11" t="s">
        <v>79</v>
      </c>
      <c r="D47" s="11" t="s">
        <v>11</v>
      </c>
      <c r="E47" s="11" t="s">
        <v>0</v>
      </c>
      <c r="F47" s="32">
        <v>3</v>
      </c>
      <c r="G47" s="11" t="s">
        <v>1</v>
      </c>
      <c r="H47" s="12" t="str">
        <f>IF(F47&lt;&gt;"",IF(F47&lt;3,"Die angegebene maximale Windgeschwindigkeit ist für",""),"")</f>
        <v/>
      </c>
      <c r="I47" s="11"/>
      <c r="J47" s="11"/>
      <c r="K47" s="11"/>
      <c r="L47" s="10"/>
    </row>
    <row r="48" spans="1:12" ht="18" x14ac:dyDescent="0.4">
      <c r="A48" s="10"/>
      <c r="B48" s="11"/>
      <c r="C48" s="11" t="s">
        <v>80</v>
      </c>
      <c r="D48" s="11" t="s">
        <v>12</v>
      </c>
      <c r="E48" s="11" t="s">
        <v>0</v>
      </c>
      <c r="F48" s="32">
        <v>2</v>
      </c>
      <c r="G48" s="11" t="s">
        <v>1</v>
      </c>
      <c r="H48" s="12" t="str">
        <f>IF(F47&lt;&gt;"",IF(F47&lt;3,"   eine Terminierung mittels Fallschirm unrealistisch.",""),"")</f>
        <v/>
      </c>
      <c r="I48" s="11"/>
      <c r="J48" s="11"/>
      <c r="K48" s="11"/>
      <c r="L48" s="10"/>
    </row>
    <row r="49" spans="1:12" ht="15.6" x14ac:dyDescent="0.3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0"/>
    </row>
    <row r="50" spans="1:12" ht="18" x14ac:dyDescent="0.4">
      <c r="A50" s="10"/>
      <c r="B50" s="11"/>
      <c r="C50" s="11" t="s">
        <v>95</v>
      </c>
      <c r="D50" s="11" t="s">
        <v>38</v>
      </c>
      <c r="E50" s="11" t="s">
        <v>4</v>
      </c>
      <c r="F50" s="64" t="str">
        <f>IF(L50="","",L50)</f>
        <v/>
      </c>
      <c r="G50" s="11" t="s">
        <v>96</v>
      </c>
      <c r="H50" s="11"/>
      <c r="I50" s="11"/>
      <c r="J50" s="11"/>
      <c r="K50" s="11"/>
      <c r="L50" s="66" t="str">
        <f>IF(OR(D43="",D42&lt;&gt;""),"",IF(AND(D24=Hintergrund!C7, D35=Hintergrund!L7,D43&lt;&gt;Hintergrund!T8),"",IF(OR(D43="",D24="",D35=""),"",IF(D43&lt;&gt;"",IF(OR(D43=Hintergrund!T6,D43=Hintergrund!U7),L39+0.5*F7,IF(D43=Hintergrund!T7,H6*SQRT(2*L39/9.81)+0.5*F7,IF(D43=Hintergrund!U6,L39*F45,IF(D43=Hintergrund!T8,H6*H46+F47*L39/F48,"")))),""))))</f>
        <v/>
      </c>
    </row>
    <row r="51" spans="1:12" ht="15.6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5.6" x14ac:dyDescent="0.3">
      <c r="A52" s="59" t="s">
        <v>81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</row>
    <row r="53" spans="1:12" ht="15.6" x14ac:dyDescent="0.3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</row>
    <row r="54" spans="1:12" ht="18" x14ac:dyDescent="0.4">
      <c r="A54" s="60"/>
      <c r="B54" s="61"/>
      <c r="C54" s="61" t="s">
        <v>82</v>
      </c>
      <c r="D54" s="61" t="s">
        <v>39</v>
      </c>
      <c r="E54" s="61" t="s">
        <v>0</v>
      </c>
      <c r="F54" s="62" t="str">
        <f>IF(F6="","",120*H6)</f>
        <v/>
      </c>
      <c r="G54" s="61" t="s">
        <v>3</v>
      </c>
      <c r="H54" s="61"/>
      <c r="I54" s="61"/>
      <c r="J54" s="61"/>
      <c r="K54" s="61"/>
      <c r="L54" s="60"/>
    </row>
    <row r="55" spans="1:12" ht="15.6" x14ac:dyDescent="0.3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0"/>
    </row>
    <row r="56" spans="1:12" ht="18" x14ac:dyDescent="0.4">
      <c r="A56" s="60"/>
      <c r="B56" s="61"/>
      <c r="C56" s="61" t="s">
        <v>83</v>
      </c>
      <c r="D56" s="61" t="s">
        <v>40</v>
      </c>
      <c r="E56" s="61" t="s">
        <v>0</v>
      </c>
      <c r="F56" s="63" t="e">
        <f>IF(F39="","",L39+150)</f>
        <v>#VALUE!</v>
      </c>
      <c r="G56" s="61" t="s">
        <v>3</v>
      </c>
      <c r="H56" s="63" t="e">
        <f>IF(F39="","",F56*3.28083989501312)</f>
        <v>#VALUE!</v>
      </c>
      <c r="I56" s="61" t="s">
        <v>23</v>
      </c>
      <c r="J56" s="61"/>
      <c r="K56" s="61"/>
      <c r="L56" s="60"/>
    </row>
    <row r="57" spans="1:12" ht="15.6" x14ac:dyDescent="0.3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</row>
    <row r="58" spans="1:12" ht="15.6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15.6" x14ac:dyDescent="0.3">
      <c r="A59" s="24" t="s">
        <v>84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2" ht="18" x14ac:dyDescent="0.4">
      <c r="A60" s="25"/>
      <c r="B60" s="22"/>
      <c r="C60" s="23" t="s">
        <v>85</v>
      </c>
      <c r="D60" s="23" t="s">
        <v>14</v>
      </c>
      <c r="E60" s="23" t="s">
        <v>0</v>
      </c>
      <c r="F60" s="26" t="str">
        <f>IF(OR(F5=22,F7=""),"",IF(F5="Wielowirnikowiec",ROUNDUP(327*F7+20,1),IF(F5="Stałopłat",ROUNDUP(490*F7+30,1),"")))</f>
        <v/>
      </c>
      <c r="G60" s="23" t="s">
        <v>3</v>
      </c>
      <c r="H60" s="22"/>
      <c r="I60" s="22"/>
      <c r="J60" s="22"/>
      <c r="K60" s="22"/>
      <c r="L60" s="25"/>
    </row>
    <row r="61" spans="1:12" ht="15.6" x14ac:dyDescent="0.3">
      <c r="A61" s="25"/>
      <c r="B61" s="22"/>
      <c r="C61" s="23"/>
      <c r="D61" s="23"/>
      <c r="E61" s="23"/>
      <c r="F61" s="23"/>
      <c r="G61" s="23"/>
      <c r="H61" s="22"/>
      <c r="I61" s="22"/>
      <c r="J61" s="22"/>
      <c r="K61" s="22"/>
      <c r="L61" s="25"/>
    </row>
    <row r="62" spans="1:12" ht="18" x14ac:dyDescent="0.4">
      <c r="A62" s="25"/>
      <c r="B62" s="22"/>
      <c r="C62" s="23" t="s">
        <v>86</v>
      </c>
      <c r="D62" s="23" t="s">
        <v>13</v>
      </c>
      <c r="E62" s="23" t="s">
        <v>0</v>
      </c>
      <c r="F62" s="33">
        <f>IF(I62="",5000,IF(AND(I62&gt;=0,I62&lt;=5000),I62,""))</f>
        <v>5000</v>
      </c>
      <c r="G62" s="23" t="s">
        <v>3</v>
      </c>
      <c r="H62" s="23" t="s">
        <v>64</v>
      </c>
      <c r="I62" s="27"/>
      <c r="J62" s="23" t="s">
        <v>3</v>
      </c>
      <c r="K62" s="23"/>
      <c r="L62" s="25"/>
    </row>
    <row r="63" spans="1:12" ht="18" x14ac:dyDescent="0.4">
      <c r="A63" s="25"/>
      <c r="B63" s="22"/>
      <c r="C63" s="23" t="s">
        <v>87</v>
      </c>
      <c r="D63" s="23" t="s">
        <v>15</v>
      </c>
      <c r="E63" s="23" t="s">
        <v>0</v>
      </c>
      <c r="F63" s="26">
        <f>IF(AND(I62&gt;=0,I62&lt;=5000),ROUNDUP(0.3*F62,1),"")</f>
        <v>1500</v>
      </c>
      <c r="G63" s="23" t="s">
        <v>3</v>
      </c>
      <c r="H63" s="22"/>
      <c r="I63" s="22"/>
      <c r="J63" s="22"/>
      <c r="K63" s="22"/>
      <c r="L63" s="25"/>
    </row>
    <row r="64" spans="1:12" ht="15.6" x14ac:dyDescent="0.3">
      <c r="A64" s="25"/>
      <c r="B64" s="22"/>
      <c r="C64" s="23"/>
      <c r="D64" s="23"/>
      <c r="E64" s="23"/>
      <c r="F64" s="34"/>
      <c r="G64" s="23"/>
      <c r="H64" s="22"/>
      <c r="I64" s="22"/>
      <c r="J64" s="22"/>
      <c r="K64" s="22"/>
      <c r="L64" s="25"/>
    </row>
    <row r="65" spans="1:12" ht="18" x14ac:dyDescent="0.4">
      <c r="A65" s="25"/>
      <c r="B65" s="22"/>
      <c r="C65" s="23" t="s">
        <v>88</v>
      </c>
      <c r="D65" s="23" t="s">
        <v>16</v>
      </c>
      <c r="E65" s="23" t="s">
        <v>0</v>
      </c>
      <c r="F65" s="47" t="str">
        <f>IF(OR(F60="",F63=""),"",MIN(F60,F63))</f>
        <v/>
      </c>
      <c r="G65" s="23" t="s">
        <v>3</v>
      </c>
      <c r="H65" s="22"/>
      <c r="I65" s="22"/>
      <c r="J65" s="22"/>
      <c r="K65" s="22"/>
      <c r="L65" s="25"/>
    </row>
    <row r="66" spans="1:12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</row>
  </sheetData>
  <sheetProtection algorithmName="SHA-512" hashValue="DP5OM3l84YFGTxRwdDYyxGjyDCyAUJhpzV+Z8OXC8qzajEhHfXZJfl9IOvER4oxLwJHmGOA7dmfaA7Cj+5x+TQ==" saltValue="/UeAq/6ryvzjksBHUTzydA==" spinCount="100000" sheet="1" objects="1" scenarios="1" selectLockedCells="1"/>
  <mergeCells count="6">
    <mergeCell ref="D43:I43"/>
    <mergeCell ref="N8:T8"/>
    <mergeCell ref="N9:T9"/>
    <mergeCell ref="F4:G4"/>
    <mergeCell ref="D35:I35"/>
    <mergeCell ref="D24:I24"/>
  </mergeCells>
  <conditionalFormatting sqref="F25">
    <cfRule type="expression" dxfId="20" priority="53">
      <formula>D25=""</formula>
    </cfRule>
    <cfRule type="expression" dxfId="19" priority="54">
      <formula>D25&lt;&gt;""</formula>
    </cfRule>
  </conditionalFormatting>
  <conditionalFormatting sqref="F26">
    <cfRule type="expression" dxfId="18" priority="51">
      <formula>$D$26&lt;&gt;""</formula>
    </cfRule>
    <cfRule type="expression" dxfId="17" priority="52">
      <formula>$D$26=""</formula>
    </cfRule>
  </conditionalFormatting>
  <conditionalFormatting sqref="C9">
    <cfRule type="expression" dxfId="16" priority="50">
      <formula>$I$8&lt;&gt;""</formula>
    </cfRule>
  </conditionalFormatting>
  <conditionalFormatting sqref="F47">
    <cfRule type="expression" dxfId="15" priority="23">
      <formula>$F$47&lt;3</formula>
    </cfRule>
  </conditionalFormatting>
  <conditionalFormatting sqref="F17">
    <cfRule type="expression" dxfId="14" priority="22">
      <formula>$F$17&lt;3*$F$7</formula>
    </cfRule>
  </conditionalFormatting>
  <conditionalFormatting sqref="C45:F45">
    <cfRule type="expression" dxfId="13" priority="14">
      <formula>$D$43=""</formula>
    </cfRule>
    <cfRule type="expression" dxfId="12" priority="18">
      <formula>$D$43="Antrieb wird ausgeschaltet ohne Gleitflug"</formula>
    </cfRule>
    <cfRule type="expression" dxfId="11" priority="19">
      <formula>$D$43="Zakończenie lotu z otwarciem spadochronu"</formula>
    </cfRule>
    <cfRule type="expression" dxfId="10" priority="21">
      <formula>$F$5&lt;&gt;"Flächenflieger"</formula>
    </cfRule>
  </conditionalFormatting>
  <conditionalFormatting sqref="C47:G48">
    <cfRule type="expression" dxfId="9" priority="20">
      <formula>$D$43&lt;&gt;"Zakończenie lotu z otwarciem spadochronu"</formula>
    </cfRule>
  </conditionalFormatting>
  <conditionalFormatting sqref="I62">
    <cfRule type="expression" dxfId="8" priority="16">
      <formula>$I$62&gt;5000</formula>
    </cfRule>
    <cfRule type="expression" dxfId="7" priority="17">
      <formula>$I$62&lt;0</formula>
    </cfRule>
  </conditionalFormatting>
  <conditionalFormatting sqref="I9:I12">
    <cfRule type="expression" dxfId="6" priority="15">
      <formula>$K9="Begründung erforderlich"</formula>
    </cfRule>
  </conditionalFormatting>
  <conditionalFormatting sqref="F36">
    <cfRule type="expression" dxfId="5" priority="11">
      <formula>D36=""</formula>
    </cfRule>
    <cfRule type="expression" dxfId="4" priority="12">
      <formula>D36&lt;&gt;""</formula>
    </cfRule>
  </conditionalFormatting>
  <conditionalFormatting sqref="G46">
    <cfRule type="expression" dxfId="3" priority="6">
      <formula>$J$43&gt;0</formula>
    </cfRule>
  </conditionalFormatting>
  <conditionalFormatting sqref="D46:E46">
    <cfRule type="expression" dxfId="2" priority="1">
      <formula>$J$43&gt;0</formula>
    </cfRule>
  </conditionalFormatting>
  <dataValidations count="4">
    <dataValidation type="list" allowBlank="1" showInputMessage="1" showErrorMessage="1" sqref="F4" xr:uid="{00000000-0002-0000-0000-000000000000}">
      <formula1>Drohnentyp</formula1>
    </dataValidation>
    <dataValidation type="list" allowBlank="1" showInputMessage="1" showErrorMessage="1" sqref="C9" xr:uid="{00000000-0002-0000-0000-000001000000}">
      <formula1>Höhenmessfehler</formula1>
    </dataValidation>
    <dataValidation type="list" allowBlank="1" showInputMessage="1" showErrorMessage="1" sqref="G6" xr:uid="{00000000-0002-0000-0000-000002000000}">
      <formula1>"m/s,kts"</formula1>
    </dataValidation>
    <dataValidation type="list" allowBlank="1" showInputMessage="1" showErrorMessage="1" sqref="G17" xr:uid="{00000000-0002-0000-0000-000003000000}">
      <formula1>"m,ft"</formula1>
    </dataValidation>
  </dataValidations>
  <pageMargins left="0.7" right="0.7" top="0.75" bottom="0.75" header="0.3" footer="0.3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FBF2D5D-BC20-4C0F-A217-6F073347F9B0}">
            <xm:f>OR(D24=Hintergrund!C7,D24=Hintergrund!D7,D35=Hintergrund!L7,D35=Hintergrund!M7,$D$43&lt;&gt;"Zakończenie lotu z otwarciem spadochronu")</xm:f>
            <x14:dxf>
              <font>
                <color rgb="FFFF9999"/>
              </font>
              <fill>
                <patternFill>
                  <bgColor rgb="FFFF9999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expression" priority="3" id="{9F4F862D-77E9-4118-BB29-1A25C530A47A}">
            <xm:f>OR(D24=Hintergrund!C7,D24=Hintergrund!D7,D35=Hintergrund!L7,D35=Hintergrund!M7,$D$43&lt;&gt;"Zakończenie lotu z otwarciem spadochronu")</xm:f>
            <x14:dxf>
              <font>
                <color rgb="FFFF9999"/>
              </font>
              <fill>
                <patternFill>
                  <bgColor rgb="FFFF9999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F46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IF(OR($D$24=Hintergrund!C7,$D$35=Hintergrund!L7), Hintergrund!T8, OFFSET(Hintergrund!T:Y,5, MATCH(F5, Hintergrund!$T$5:$Y$5, 0)-1, COUNTA(INDEX(Hintergrund!T:Y, , MATCH(F5, Hintergrund!$T$5:$Y$5, 0)))-1, 1))</xm:f>
          </x14:formula1>
          <xm:sqref>D43:I43</xm:sqref>
        </x14:dataValidation>
        <x14:dataValidation type="list" allowBlank="1" showInputMessage="1" showErrorMessage="1" xr:uid="{00000000-0002-0000-0000-000005000000}">
          <x14:formula1>
            <xm:f>OFFSET(Hintergrund!C:D,5, MATCH(F5,Hintergrund!$C$5:$D$5,0)-1,COUNTA(INDEX(Hintergrund!C:D, , MATCH(F5,Hintergrund!$C$5:$D$5,0)))-1,1)</xm:f>
          </x14:formula1>
          <xm:sqref>D24:I24</xm:sqref>
        </x14:dataValidation>
        <x14:dataValidation type="list" allowBlank="1" showInputMessage="1" showErrorMessage="1" xr:uid="{00000000-0002-0000-0000-000006000000}">
          <x14:formula1>
            <xm:f>OFFSET(Hintergrund!K:O,5,MATCH(F5,Hintergrund!$K$5:$O$5,0)-1,COUNTA(INDEX(Hintergrund!K:O,,MATCH(F5,Hintergrund!$K$5:$O$5,0)))-1,1)</xm:f>
          </x14:formula1>
          <xm:sqref>D35:I35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B41"/>
  <sheetViews>
    <sheetView topLeftCell="L1" zoomScale="85" zoomScaleNormal="85" workbookViewId="0">
      <selection activeCell="AB6" sqref="AB6"/>
    </sheetView>
  </sheetViews>
  <sheetFormatPr defaultColWidth="11.44140625" defaultRowHeight="14.4" x14ac:dyDescent="0.3"/>
  <cols>
    <col min="2" max="2" width="21" bestFit="1" customWidth="1"/>
    <col min="3" max="4" width="19.44140625" bestFit="1" customWidth="1"/>
    <col min="11" max="11" width="21" bestFit="1" customWidth="1"/>
    <col min="12" max="12" width="30.44140625" bestFit="1" customWidth="1"/>
    <col min="19" max="19" width="21" bestFit="1" customWidth="1"/>
    <col min="20" max="20" width="29.88671875" bestFit="1" customWidth="1"/>
  </cols>
  <sheetData>
    <row r="1" spans="1:28" x14ac:dyDescent="0.3">
      <c r="A1" t="s">
        <v>46</v>
      </c>
      <c r="B1" t="s">
        <v>47</v>
      </c>
      <c r="D1" t="s">
        <v>43</v>
      </c>
      <c r="E1" t="s">
        <v>44</v>
      </c>
      <c r="F1" t="s">
        <v>45</v>
      </c>
    </row>
    <row r="2" spans="1:28" x14ac:dyDescent="0.3">
      <c r="B2" t="s">
        <v>48</v>
      </c>
    </row>
    <row r="3" spans="1:28" x14ac:dyDescent="0.3">
      <c r="A3" t="s">
        <v>6</v>
      </c>
    </row>
    <row r="5" spans="1:28" x14ac:dyDescent="0.3">
      <c r="B5" t="s">
        <v>7</v>
      </c>
      <c r="C5" t="s">
        <v>43</v>
      </c>
      <c r="D5" t="s">
        <v>45</v>
      </c>
      <c r="K5" t="s">
        <v>7</v>
      </c>
      <c r="L5" t="s">
        <v>43</v>
      </c>
      <c r="M5" t="s">
        <v>45</v>
      </c>
      <c r="S5" t="s">
        <v>7</v>
      </c>
      <c r="T5" t="s">
        <v>43</v>
      </c>
      <c r="U5" t="s">
        <v>45</v>
      </c>
      <c r="Z5" t="s">
        <v>7</v>
      </c>
      <c r="AA5" t="s">
        <v>43</v>
      </c>
      <c r="AB5" t="s">
        <v>45</v>
      </c>
    </row>
    <row r="6" spans="1:28" ht="86.4" x14ac:dyDescent="0.3">
      <c r="A6" t="s">
        <v>8</v>
      </c>
      <c r="B6" t="s">
        <v>49</v>
      </c>
      <c r="C6" t="s">
        <v>53</v>
      </c>
      <c r="D6" t="s">
        <v>102</v>
      </c>
      <c r="J6" t="s">
        <v>9</v>
      </c>
      <c r="K6" t="s">
        <v>49</v>
      </c>
      <c r="L6" t="s">
        <v>50</v>
      </c>
      <c r="M6" s="71" t="s">
        <v>99</v>
      </c>
      <c r="S6" t="s">
        <v>18</v>
      </c>
      <c r="T6" t="s">
        <v>55</v>
      </c>
      <c r="U6" t="s">
        <v>100</v>
      </c>
      <c r="Z6" t="s">
        <v>19</v>
      </c>
      <c r="AA6" t="s">
        <v>20</v>
      </c>
      <c r="AB6" t="s">
        <v>20</v>
      </c>
    </row>
    <row r="7" spans="1:28" x14ac:dyDescent="0.3">
      <c r="C7" t="s">
        <v>52</v>
      </c>
      <c r="D7" t="s">
        <v>52</v>
      </c>
      <c r="L7" t="s">
        <v>52</v>
      </c>
      <c r="M7" t="s">
        <v>52</v>
      </c>
      <c r="T7" t="s">
        <v>51</v>
      </c>
      <c r="U7" t="s">
        <v>101</v>
      </c>
      <c r="AA7" t="s">
        <v>52</v>
      </c>
      <c r="AB7" t="s">
        <v>52</v>
      </c>
    </row>
    <row r="8" spans="1:28" x14ac:dyDescent="0.3">
      <c r="T8" t="s">
        <v>54</v>
      </c>
      <c r="U8" t="s">
        <v>54</v>
      </c>
    </row>
    <row r="41" spans="3:3" x14ac:dyDescent="0.3">
      <c r="C41" t="str">
        <f>IF(F18="","",IF(AND(F18=Hintergrund!C5,D39=Hintergrund!C6),"Nickwinkel",IF(AND(F18=Hintergrund!C5,D39=Hintergrund!C7),"",IF(AND(F18=Hintergrund!D5,D39=Hintergrund!D6),"Rollwinkel",IF(AND(F18="Stałopłat",D39="Alternativ Fallschirm"),"","")))))</f>
        <v/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Kalkulator_FV_CV_GRB</vt:lpstr>
      <vt:lpstr>Drohnentyp</vt:lpstr>
      <vt:lpstr>Höhenmessfehler</vt:lpstr>
    </vt:vector>
  </TitlesOfParts>
  <Company>Luftfahrt-Bundesamt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Tool zur Berechnung von FG CV und GRB nach Leitfaden</dc:title>
  <dc:creator>Luftfahrt-Bundesamt</dc:creator>
  <cp:lastModifiedBy>DROŹDZIKOWSKA Aleksandra</cp:lastModifiedBy>
  <cp:lastPrinted>2022-11-15T12:22:52Z</cp:lastPrinted>
  <dcterms:created xsi:type="dcterms:W3CDTF">2022-11-07T14:44:48Z</dcterms:created>
  <dcterms:modified xsi:type="dcterms:W3CDTF">2025-06-03T08:37:56Z</dcterms:modified>
</cp:coreProperties>
</file>